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https://d.docs.live.net/f4bbce23118d369a/Documents/Budget/FY2024-2025/"/>
    </mc:Choice>
  </mc:AlternateContent>
  <xr:revisionPtr revIDLastSave="13" documentId="8_{BA4EED39-E351-8F41-817A-83C3957D1A28}" xr6:coauthVersionLast="47" xr6:coauthVersionMax="47" xr10:uidLastSave="{6A6E33A1-A7EF-4C42-99F5-C213421A8EB3}"/>
  <bookViews>
    <workbookView xWindow="-420" yWindow="780" windowWidth="29400" windowHeight="16900" xr2:uid="{00000000-000D-0000-FFFF-FFFF00000000}"/>
  </bookViews>
  <sheets>
    <sheet name="Profit and Loss" sheetId="1" r:id="rId1"/>
    <sheet name="Sheet1" sheetId="2" r:id="rId2"/>
    <sheet name="Analysis" sheetId="3" r:id="rId3"/>
  </sheets>
  <definedNames>
    <definedName name="_xlnm.Print_Titles" localSheetId="0">'Profit and Loss'!$1:$1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4" i="1" l="1"/>
  <c r="E37" i="1" l="1"/>
  <c r="G37" i="1"/>
  <c r="E135" i="1"/>
  <c r="E136" i="1" s="1"/>
  <c r="F135" i="1"/>
  <c r="G135" i="1"/>
  <c r="G136" i="1" s="1"/>
  <c r="C135" i="1"/>
  <c r="C136" i="1" s="1"/>
  <c r="E101" i="1"/>
  <c r="H18" i="3"/>
  <c r="H47" i="3"/>
  <c r="H50" i="3" s="1"/>
  <c r="G84" i="1"/>
  <c r="E32" i="1"/>
  <c r="G101" i="1"/>
  <c r="G112" i="1"/>
  <c r="G107" i="1"/>
  <c r="G110" i="1" s="1"/>
  <c r="G121" i="1"/>
  <c r="G119" i="1"/>
  <c r="G118" i="1"/>
  <c r="G117" i="1"/>
  <c r="G115" i="1"/>
  <c r="G103" i="1"/>
  <c r="G95" i="1"/>
  <c r="G90" i="1"/>
  <c r="G88" i="1"/>
  <c r="G87" i="1"/>
  <c r="G85" i="1"/>
  <c r="G79" i="1"/>
  <c r="G78" i="1"/>
  <c r="G77" i="1"/>
  <c r="G76" i="1"/>
  <c r="G74" i="1"/>
  <c r="G72" i="1"/>
  <c r="G70" i="1"/>
  <c r="G66" i="1"/>
  <c r="G65" i="1"/>
  <c r="G64" i="1"/>
  <c r="G63" i="1"/>
  <c r="G55" i="1"/>
  <c r="G51" i="1"/>
  <c r="G50" i="1"/>
  <c r="G44" i="1"/>
  <c r="G29" i="1"/>
  <c r="G32" i="1" s="1"/>
  <c r="G26" i="1"/>
  <c r="G25" i="1"/>
  <c r="G23" i="1"/>
  <c r="G19" i="1"/>
  <c r="G17" i="1"/>
  <c r="G13" i="1"/>
  <c r="G15" i="1" s="1"/>
  <c r="G10" i="1"/>
  <c r="G7" i="1"/>
  <c r="G6" i="1"/>
  <c r="G5" i="1"/>
  <c r="E128" i="1"/>
  <c r="E125" i="1"/>
  <c r="F121" i="1"/>
  <c r="E121" i="1"/>
  <c r="F119" i="1"/>
  <c r="E119" i="1"/>
  <c r="F118" i="1"/>
  <c r="E118" i="1"/>
  <c r="F117" i="1"/>
  <c r="E117" i="1"/>
  <c r="F115" i="1"/>
  <c r="F114" i="1"/>
  <c r="E114" i="1"/>
  <c r="E116" i="1" s="1"/>
  <c r="F112" i="1"/>
  <c r="E112" i="1"/>
  <c r="F111" i="1"/>
  <c r="E111" i="1"/>
  <c r="F109" i="1"/>
  <c r="E109" i="1"/>
  <c r="E108" i="1"/>
  <c r="F107" i="1"/>
  <c r="E107" i="1"/>
  <c r="F103" i="1"/>
  <c r="F102" i="1"/>
  <c r="B26" i="2"/>
  <c r="A26" i="2"/>
  <c r="A25" i="2"/>
  <c r="A24" i="2"/>
  <c r="A22" i="2"/>
  <c r="B20" i="2"/>
  <c r="A20" i="2"/>
  <c r="B19" i="2"/>
  <c r="A19" i="2"/>
  <c r="B18" i="2"/>
  <c r="A18" i="2"/>
  <c r="B17" i="2"/>
  <c r="A17" i="2"/>
  <c r="B16" i="2"/>
  <c r="A16" i="2"/>
  <c r="B15" i="2"/>
  <c r="A15" i="2"/>
  <c r="B14" i="2"/>
  <c r="B13" i="2"/>
  <c r="A13" i="2"/>
  <c r="B11" i="2"/>
  <c r="A11" i="2"/>
  <c r="B10" i="2"/>
  <c r="A10" i="2"/>
  <c r="B9" i="2"/>
  <c r="B21" i="2" s="1"/>
  <c r="A9" i="2"/>
  <c r="A21" i="2" s="1"/>
  <c r="B8" i="2"/>
  <c r="A8" i="2"/>
  <c r="A7" i="2"/>
  <c r="B6" i="2"/>
  <c r="A6" i="2"/>
  <c r="B2" i="2"/>
  <c r="B1" i="2"/>
  <c r="A1" i="2"/>
  <c r="F53" i="1"/>
  <c r="E54" i="1"/>
  <c r="F54" i="1"/>
  <c r="F55" i="1"/>
  <c r="E58" i="1"/>
  <c r="F58" i="1"/>
  <c r="E63" i="1"/>
  <c r="F63" i="1"/>
  <c r="E64" i="1"/>
  <c r="F64" i="1"/>
  <c r="E65" i="1"/>
  <c r="F65" i="1"/>
  <c r="E66" i="1"/>
  <c r="F66" i="1"/>
  <c r="E69" i="1"/>
  <c r="F69" i="1"/>
  <c r="F70" i="1"/>
  <c r="E72" i="1"/>
  <c r="F72" i="1"/>
  <c r="E73" i="1"/>
  <c r="F73" i="1"/>
  <c r="E74" i="1"/>
  <c r="F74" i="1"/>
  <c r="E76" i="1"/>
  <c r="F76" i="1"/>
  <c r="F77" i="1"/>
  <c r="E78" i="1"/>
  <c r="F78" i="1"/>
  <c r="E79" i="1"/>
  <c r="F79" i="1"/>
  <c r="E81" i="1"/>
  <c r="E84" i="1" s="1"/>
  <c r="F81" i="1"/>
  <c r="F83" i="1"/>
  <c r="E85" i="1"/>
  <c r="F85" i="1"/>
  <c r="E87" i="1"/>
  <c r="F87" i="1"/>
  <c r="E88" i="1"/>
  <c r="F88" i="1"/>
  <c r="E89" i="1"/>
  <c r="F89" i="1"/>
  <c r="E90" i="1"/>
  <c r="F90" i="1"/>
  <c r="E95" i="1"/>
  <c r="F95" i="1"/>
  <c r="E96" i="1"/>
  <c r="F96" i="1"/>
  <c r="E97" i="1"/>
  <c r="F97" i="1"/>
  <c r="F98" i="1"/>
  <c r="F100" i="1"/>
  <c r="E50" i="1"/>
  <c r="F50" i="1"/>
  <c r="F51" i="1"/>
  <c r="E49" i="1"/>
  <c r="F48" i="1"/>
  <c r="E48" i="1"/>
  <c r="E59" i="1"/>
  <c r="F45" i="1"/>
  <c r="E45" i="1"/>
  <c r="F44" i="1"/>
  <c r="F43" i="1"/>
  <c r="E43" i="1"/>
  <c r="F42" i="1"/>
  <c r="E42" i="1"/>
  <c r="F34" i="1"/>
  <c r="F37" i="1" s="1"/>
  <c r="F29" i="1"/>
  <c r="F32" i="1" s="1"/>
  <c r="F26" i="1"/>
  <c r="F25" i="1"/>
  <c r="E25" i="1"/>
  <c r="E27" i="1" s="1"/>
  <c r="F23" i="1"/>
  <c r="E23" i="1"/>
  <c r="F22" i="1"/>
  <c r="E22" i="1"/>
  <c r="F21" i="1"/>
  <c r="E21" i="1"/>
  <c r="F19" i="1"/>
  <c r="E19" i="1"/>
  <c r="F18" i="1"/>
  <c r="E18" i="1"/>
  <c r="F17" i="1"/>
  <c r="E17" i="1"/>
  <c r="F13" i="1"/>
  <c r="E13" i="1"/>
  <c r="F12" i="1"/>
  <c r="E12" i="1"/>
  <c r="F10" i="1"/>
  <c r="E10" i="1"/>
  <c r="F9" i="1"/>
  <c r="E9" i="1"/>
  <c r="F7" i="1"/>
  <c r="E7" i="1"/>
  <c r="F6" i="1"/>
  <c r="F5" i="1"/>
  <c r="E5" i="1"/>
  <c r="F3" i="1"/>
  <c r="E3" i="1"/>
  <c r="B135" i="1"/>
  <c r="B136" i="1" s="1"/>
  <c r="D134" i="1"/>
  <c r="D135" i="1" s="1"/>
  <c r="C128" i="1"/>
  <c r="B128" i="1"/>
  <c r="D127" i="1"/>
  <c r="C127" i="1"/>
  <c r="B127" i="1"/>
  <c r="B126" i="1"/>
  <c r="D121" i="1"/>
  <c r="C121" i="1"/>
  <c r="B121" i="1"/>
  <c r="D119" i="1"/>
  <c r="C119" i="1"/>
  <c r="D118" i="1"/>
  <c r="C118" i="1"/>
  <c r="B118" i="1"/>
  <c r="B120" i="1" s="1"/>
  <c r="D117" i="1"/>
  <c r="C117" i="1"/>
  <c r="B117" i="1"/>
  <c r="D115" i="1"/>
  <c r="C115" i="1"/>
  <c r="B115" i="1"/>
  <c r="D114" i="1"/>
  <c r="C114" i="1"/>
  <c r="B114" i="1"/>
  <c r="D112" i="1"/>
  <c r="C112" i="1"/>
  <c r="B112" i="1"/>
  <c r="D111" i="1"/>
  <c r="C111" i="1"/>
  <c r="B111" i="1"/>
  <c r="C109" i="1"/>
  <c r="B109" i="1"/>
  <c r="D108" i="1"/>
  <c r="C108" i="1"/>
  <c r="B108" i="1"/>
  <c r="D107" i="1"/>
  <c r="C107" i="1"/>
  <c r="B107" i="1"/>
  <c r="B103" i="1"/>
  <c r="D100" i="1"/>
  <c r="D99" i="1"/>
  <c r="D101" i="1" s="1"/>
  <c r="C99" i="1"/>
  <c r="C101" i="1" s="1"/>
  <c r="B98" i="1"/>
  <c r="B101" i="1" s="1"/>
  <c r="D97" i="1"/>
  <c r="C97" i="1"/>
  <c r="B97" i="1"/>
  <c r="D96" i="1"/>
  <c r="C96" i="1"/>
  <c r="D95" i="1"/>
  <c r="C95" i="1"/>
  <c r="B95" i="1"/>
  <c r="B91" i="1"/>
  <c r="D90" i="1"/>
  <c r="C90" i="1"/>
  <c r="B90" i="1"/>
  <c r="D89" i="1"/>
  <c r="C89" i="1"/>
  <c r="B89" i="1"/>
  <c r="D88" i="1"/>
  <c r="C88" i="1"/>
  <c r="B88" i="1"/>
  <c r="D87" i="1"/>
  <c r="C87" i="1"/>
  <c r="B87" i="1"/>
  <c r="B86" i="1"/>
  <c r="D85" i="1"/>
  <c r="C85" i="1"/>
  <c r="B85" i="1"/>
  <c r="C83" i="1"/>
  <c r="B83" i="1"/>
  <c r="D82" i="1"/>
  <c r="C82" i="1"/>
  <c r="B82" i="1"/>
  <c r="D81" i="1"/>
  <c r="C81" i="1"/>
  <c r="B81" i="1"/>
  <c r="D79" i="1"/>
  <c r="C79" i="1"/>
  <c r="B79" i="1"/>
  <c r="D78" i="1"/>
  <c r="C78" i="1"/>
  <c r="B78" i="1"/>
  <c r="D77" i="1"/>
  <c r="C77" i="1"/>
  <c r="B77" i="1"/>
  <c r="D76" i="1"/>
  <c r="C76" i="1"/>
  <c r="B76" i="1"/>
  <c r="D74" i="1"/>
  <c r="C74" i="1"/>
  <c r="B74" i="1"/>
  <c r="D73" i="1"/>
  <c r="C73" i="1"/>
  <c r="B73" i="1"/>
  <c r="D72" i="1"/>
  <c r="C72" i="1"/>
  <c r="B72" i="1"/>
  <c r="D70" i="1"/>
  <c r="C70" i="1"/>
  <c r="B70" i="1"/>
  <c r="D69" i="1"/>
  <c r="C69" i="1"/>
  <c r="B69" i="1"/>
  <c r="C68" i="1"/>
  <c r="D66" i="1"/>
  <c r="C66" i="1"/>
  <c r="B66" i="1"/>
  <c r="D65" i="1"/>
  <c r="C65" i="1"/>
  <c r="B65" i="1"/>
  <c r="D64" i="1"/>
  <c r="C64" i="1"/>
  <c r="B64" i="1"/>
  <c r="D63" i="1"/>
  <c r="C63" i="1"/>
  <c r="B63" i="1"/>
  <c r="D58" i="1"/>
  <c r="C58" i="1"/>
  <c r="B58" i="1"/>
  <c r="C56" i="1"/>
  <c r="B56" i="1"/>
  <c r="D55" i="1"/>
  <c r="C55" i="1"/>
  <c r="B55" i="1"/>
  <c r="C54" i="1"/>
  <c r="B54" i="1"/>
  <c r="D53" i="1"/>
  <c r="C53" i="1"/>
  <c r="B53" i="1"/>
  <c r="D50" i="1"/>
  <c r="D52" i="1" s="1"/>
  <c r="C50" i="1"/>
  <c r="C52" i="1" s="1"/>
  <c r="B50" i="1"/>
  <c r="B49" i="1"/>
  <c r="D48" i="1"/>
  <c r="C48" i="1"/>
  <c r="B48" i="1"/>
  <c r="D45" i="1"/>
  <c r="C45" i="1"/>
  <c r="D44" i="1"/>
  <c r="C44" i="1"/>
  <c r="B44" i="1"/>
  <c r="D43" i="1"/>
  <c r="C43" i="1"/>
  <c r="B43" i="1"/>
  <c r="D42" i="1"/>
  <c r="C42" i="1"/>
  <c r="B42" i="1"/>
  <c r="B37" i="1"/>
  <c r="D35" i="1"/>
  <c r="C35" i="1"/>
  <c r="C37" i="1" s="1"/>
  <c r="D34" i="1"/>
  <c r="B31" i="1"/>
  <c r="D30" i="1"/>
  <c r="C30" i="1"/>
  <c r="B30" i="1"/>
  <c r="D29" i="1"/>
  <c r="C29" i="1"/>
  <c r="B29" i="1"/>
  <c r="D28" i="1"/>
  <c r="C26" i="1"/>
  <c r="B26" i="1"/>
  <c r="D25" i="1"/>
  <c r="D27" i="1" s="1"/>
  <c r="C25" i="1"/>
  <c r="B25" i="1"/>
  <c r="D23" i="1"/>
  <c r="C23" i="1"/>
  <c r="B23" i="1"/>
  <c r="D22" i="1"/>
  <c r="C22" i="1"/>
  <c r="B22" i="1"/>
  <c r="D21" i="1"/>
  <c r="C21" i="1"/>
  <c r="B21" i="1"/>
  <c r="D19" i="1"/>
  <c r="C19" i="1"/>
  <c r="B19" i="1"/>
  <c r="D18" i="1"/>
  <c r="C18" i="1"/>
  <c r="B18" i="1"/>
  <c r="D17" i="1"/>
  <c r="C17" i="1"/>
  <c r="B17" i="1"/>
  <c r="D14" i="1"/>
  <c r="C14" i="1"/>
  <c r="B14" i="1"/>
  <c r="D13" i="1"/>
  <c r="C13" i="1"/>
  <c r="B13" i="1"/>
  <c r="D12" i="1"/>
  <c r="C12" i="1"/>
  <c r="D10" i="1"/>
  <c r="C10" i="1"/>
  <c r="B10" i="1"/>
  <c r="D9" i="1"/>
  <c r="C9" i="1"/>
  <c r="B9" i="1"/>
  <c r="D7" i="1"/>
  <c r="C7" i="1"/>
  <c r="B7" i="1"/>
  <c r="B6" i="1"/>
  <c r="D5" i="1"/>
  <c r="C5" i="1"/>
  <c r="B5" i="1"/>
  <c r="D3" i="1"/>
  <c r="C3" i="1"/>
  <c r="B3" i="1"/>
  <c r="E15" i="1" l="1"/>
  <c r="G46" i="1"/>
  <c r="F84" i="1"/>
  <c r="D104" i="1"/>
  <c r="D37" i="1"/>
  <c r="E104" i="1"/>
  <c r="C104" i="1"/>
  <c r="F15" i="1"/>
  <c r="G52" i="1"/>
  <c r="G60" i="1" s="1"/>
  <c r="E120" i="1"/>
  <c r="C46" i="1"/>
  <c r="G27" i="1"/>
  <c r="C60" i="1"/>
  <c r="F104" i="1"/>
  <c r="D60" i="1"/>
  <c r="E46" i="1"/>
  <c r="C110" i="1"/>
  <c r="F46" i="1"/>
  <c r="D110" i="1"/>
  <c r="F101" i="1"/>
  <c r="B3" i="2" s="1"/>
  <c r="F52" i="1"/>
  <c r="F60" i="1" s="1"/>
  <c r="G116" i="1"/>
  <c r="G67" i="1"/>
  <c r="G92" i="1"/>
  <c r="G104" i="1"/>
  <c r="G20" i="1"/>
  <c r="E110" i="1"/>
  <c r="G8" i="1"/>
  <c r="G75" i="1"/>
  <c r="G120" i="1"/>
  <c r="E67" i="1"/>
  <c r="F67" i="1"/>
  <c r="F110" i="1"/>
  <c r="F120" i="1"/>
  <c r="F136" i="1"/>
  <c r="F116" i="1"/>
  <c r="E75" i="1"/>
  <c r="F75" i="1"/>
  <c r="F92" i="1"/>
  <c r="A3" i="2"/>
  <c r="E92" i="1"/>
  <c r="F27" i="1"/>
  <c r="E52" i="1"/>
  <c r="E60" i="1" s="1"/>
  <c r="E8" i="1"/>
  <c r="E20" i="1"/>
  <c r="D120" i="1"/>
  <c r="B20" i="1"/>
  <c r="F20" i="1"/>
  <c r="F8" i="1"/>
  <c r="C32" i="1"/>
  <c r="C84" i="1"/>
  <c r="B92" i="1"/>
  <c r="D46" i="1"/>
  <c r="D84" i="1"/>
  <c r="B84" i="1"/>
  <c r="D67" i="1"/>
  <c r="D116" i="1"/>
  <c r="D32" i="1"/>
  <c r="D8" i="1"/>
  <c r="C92" i="1"/>
  <c r="B110" i="1"/>
  <c r="D92" i="1"/>
  <c r="C8" i="1"/>
  <c r="C27" i="1"/>
  <c r="B67" i="1"/>
  <c r="D75" i="1"/>
  <c r="C67" i="1"/>
  <c r="B116" i="1"/>
  <c r="C116" i="1"/>
  <c r="C20" i="1"/>
  <c r="B75" i="1"/>
  <c r="C75" i="1"/>
  <c r="C120" i="1"/>
  <c r="C15" i="1"/>
  <c r="D20" i="1"/>
  <c r="B46" i="1"/>
  <c r="B52" i="1"/>
  <c r="B60" i="1" s="1"/>
  <c r="D136" i="1"/>
  <c r="B8" i="1"/>
  <c r="B15" i="1"/>
  <c r="B27" i="1"/>
  <c r="B32" i="1"/>
  <c r="D15" i="1"/>
  <c r="E124" i="1" l="1"/>
  <c r="D93" i="1"/>
  <c r="F93" i="1"/>
  <c r="E93" i="1"/>
  <c r="A27" i="2" s="1"/>
  <c r="A28" i="2" s="1"/>
  <c r="A29" i="2" s="1"/>
  <c r="F124" i="1"/>
  <c r="G38" i="1"/>
  <c r="H6" i="3" s="1"/>
  <c r="E38" i="1"/>
  <c r="G93" i="1"/>
  <c r="F38" i="1"/>
  <c r="D124" i="1"/>
  <c r="C93" i="1"/>
  <c r="B93" i="1"/>
  <c r="D38" i="1"/>
  <c r="C38" i="1"/>
  <c r="B124" i="1"/>
  <c r="C124" i="1"/>
  <c r="B104" i="1"/>
  <c r="B38" i="1"/>
  <c r="F129" i="1" l="1"/>
  <c r="F132" i="1" s="1"/>
  <c r="F137" i="1" s="1"/>
  <c r="D129" i="1"/>
  <c r="G129" i="1"/>
  <c r="H8" i="3" s="1"/>
  <c r="B27" i="2"/>
  <c r="B28" i="2" s="1"/>
  <c r="B29" i="2" s="1"/>
  <c r="C129" i="1"/>
  <c r="C132" i="1" s="1"/>
  <c r="C137" i="1" s="1"/>
  <c r="E129" i="1"/>
  <c r="E132" i="1" s="1"/>
  <c r="E137" i="1" s="1"/>
  <c r="D132" i="1"/>
  <c r="D137" i="1" s="1"/>
  <c r="B129" i="1"/>
  <c r="G132" i="1" l="1"/>
  <c r="G137" i="1" s="1"/>
  <c r="H10" i="3" s="1"/>
  <c r="H21" i="3" s="1"/>
  <c r="B132" i="1"/>
  <c r="B137" i="1" l="1"/>
</calcChain>
</file>

<file path=xl/sharedStrings.xml><?xml version="1.0" encoding="utf-8"?>
<sst xmlns="http://schemas.openxmlformats.org/spreadsheetml/2006/main" count="286" uniqueCount="270">
  <si>
    <t>FY21 - Actual (7/20 - 6/21)</t>
  </si>
  <si>
    <t>FY22 - Actual (7/21 - 6/22)</t>
  </si>
  <si>
    <t>FY23 - Actual (7/22 - 6/23)</t>
  </si>
  <si>
    <t>FY24 - Actual (7/23 - To Date)</t>
  </si>
  <si>
    <t>FY24 - Budget (7/23 - 6/24)</t>
  </si>
  <si>
    <t>FY25 Proposed Budget</t>
  </si>
  <si>
    <t>PROPOSED (FY25) BUDGET NOTES 03/2024</t>
  </si>
  <si>
    <t>Previous (FY24) Budget Notes</t>
  </si>
  <si>
    <t>Mayor Following Up</t>
  </si>
  <si>
    <t>Income</t>
  </si>
  <si>
    <t xml:space="preserve">   01. Real Estate Property Tax</t>
  </si>
  <si>
    <t>Per 3/18 Mtng - increase by $20,000</t>
  </si>
  <si>
    <t>$0.15 per $100</t>
  </si>
  <si>
    <t>Get projection for this?</t>
  </si>
  <si>
    <t xml:space="preserve">   02. Personal Property</t>
  </si>
  <si>
    <t xml:space="preserve">      02.1 Corporate</t>
  </si>
  <si>
    <t>$0.80 per $100 (unchanged)</t>
  </si>
  <si>
    <t>$0.80 per $100</t>
  </si>
  <si>
    <t xml:space="preserve">      02.2 Unincorporated</t>
  </si>
  <si>
    <t xml:space="preserve">      02.3 Public Utility</t>
  </si>
  <si>
    <t>$1.50 per $100 (unchanged)</t>
  </si>
  <si>
    <t xml:space="preserve">$1.50 per $100 </t>
  </si>
  <si>
    <t xml:space="preserve">   Total 02. Personal Property</t>
  </si>
  <si>
    <t xml:space="preserve">   03. State Income Tax</t>
  </si>
  <si>
    <t>Per 3/18 Mtng - estimate to increase to $180,000</t>
  </si>
  <si>
    <t xml:space="preserve">   04. Highway</t>
  </si>
  <si>
    <t xml:space="preserve">new state law, increases HUR but have released Street A </t>
  </si>
  <si>
    <t xml:space="preserve">   05. License/Permits</t>
  </si>
  <si>
    <t xml:space="preserve">      05.1 Admissions &amp; Amusement</t>
  </si>
  <si>
    <t>Per 3/18 Mtng - increase to $1000</t>
  </si>
  <si>
    <t xml:space="preserve">      05.2 Build Perm</t>
  </si>
  <si>
    <t xml:space="preserve">      05.4 Judiciary receipts</t>
  </si>
  <si>
    <t>3/23 - No description found</t>
  </si>
  <si>
    <t xml:space="preserve">   Total 05. License/Permits</t>
  </si>
  <si>
    <t xml:space="preserve">   06. Rental Inc</t>
  </si>
  <si>
    <t xml:space="preserve">      06.1 Post Off.</t>
  </si>
  <si>
    <t>extended lease $35,280 through 2026 $37,200 2027-2031</t>
  </si>
  <si>
    <t>extended lease $35280 through 2026 $37200 2027-2031</t>
  </si>
  <si>
    <t xml:space="preserve">      06.2 T H Rental</t>
  </si>
  <si>
    <t>Per 3/18 Mtng - increase to $12,000</t>
  </si>
  <si>
    <t xml:space="preserve">      06.3 Parking Lot--Tulane</t>
  </si>
  <si>
    <t xml:space="preserve">   Total 06. Rental Inc</t>
  </si>
  <si>
    <t xml:space="preserve">   07. Interest</t>
  </si>
  <si>
    <t>MD Local Gov't Investment Pool + PNC</t>
  </si>
  <si>
    <t>interest rates increasing</t>
  </si>
  <si>
    <t>Get actuals?</t>
  </si>
  <si>
    <t xml:space="preserve">   08. County Revenue Sharing</t>
  </si>
  <si>
    <t xml:space="preserve">New formula in bill 2-22 passed by County Council </t>
  </si>
  <si>
    <t xml:space="preserve">   09. Cable Franchise</t>
  </si>
  <si>
    <t>County negotiating now</t>
  </si>
  <si>
    <t xml:space="preserve">   10. Echo Newsletter</t>
  </si>
  <si>
    <t xml:space="preserve">      10.1 Advertisements</t>
  </si>
  <si>
    <t>Covers printing of Echo</t>
  </si>
  <si>
    <t>covers printing of Echo</t>
  </si>
  <si>
    <t xml:space="preserve">      10.2 Subscriptions</t>
  </si>
  <si>
    <t>Subscription fee for Echo</t>
  </si>
  <si>
    <t>subscription fee for Echo</t>
  </si>
  <si>
    <t xml:space="preserve">   Total 10. Echo Newsletter</t>
  </si>
  <si>
    <t xml:space="preserve">   11 Miscl Revenue</t>
  </si>
  <si>
    <t xml:space="preserve">      11.1 Walking Tour Book</t>
  </si>
  <si>
    <t xml:space="preserve">      11.3 History of TGE</t>
  </si>
  <si>
    <t xml:space="preserve">      11.4 Env Project Restricted Inc</t>
  </si>
  <si>
    <t>Per 3/18 - Note contributions to N. Long garden - no longer needed</t>
  </si>
  <si>
    <t xml:space="preserve">   Total 11 Miscl Revenue</t>
  </si>
  <si>
    <t xml:space="preserve">   12 Restricted Use Funds</t>
  </si>
  <si>
    <t xml:space="preserve">      12.1  American Rescue Plan</t>
  </si>
  <si>
    <r>
      <rPr>
        <sz val="12"/>
        <color rgb="FF000000"/>
        <rFont val="Calibri"/>
        <family val="2"/>
      </rPr>
      <t xml:space="preserve">FY24 funds need to be obligated by 12/24, </t>
    </r>
    <r>
      <rPr>
        <b/>
        <sz val="12"/>
        <color rgb="FFFF0000"/>
        <rFont val="Calibri"/>
        <family val="2"/>
      </rPr>
      <t>IF NOT USED WE LOSE</t>
    </r>
  </si>
  <si>
    <t>needs to be obligated by 12/24</t>
  </si>
  <si>
    <t xml:space="preserve">      12.2 Chesapeake Bay Trust Grant</t>
  </si>
  <si>
    <t>applying for $108800 find out in June</t>
  </si>
  <si>
    <t xml:space="preserve">   Total 12 Restricted Use Funds</t>
  </si>
  <si>
    <t>Total Income</t>
  </si>
  <si>
    <t>Expenses</t>
  </si>
  <si>
    <t xml:space="preserve">   20 Payroll</t>
  </si>
  <si>
    <t xml:space="preserve">      20.1 Salary</t>
  </si>
  <si>
    <t>Unchanged pending new hire</t>
  </si>
  <si>
    <t>approved by Council in closed session 12/12/22</t>
  </si>
  <si>
    <t xml:space="preserve">      20.2 Employer Taxes</t>
  </si>
  <si>
    <t>need to recalculate based on raise</t>
  </si>
  <si>
    <t xml:space="preserve">      20.3 Staff Training</t>
  </si>
  <si>
    <t>New Area</t>
  </si>
  <si>
    <t xml:space="preserve">      20.4 Health Insurance</t>
  </si>
  <si>
    <t>approved by Council in closed session 11/8/21 pay 80% premium</t>
  </si>
  <si>
    <t xml:space="preserve">   Total 20 Payroll</t>
  </si>
  <si>
    <t xml:space="preserve">   21  Professional Services</t>
  </si>
  <si>
    <t xml:space="preserve">      21.1. Auditor</t>
  </si>
  <si>
    <t>Increase to $12,000 based on updated fees from Auditor</t>
  </si>
  <si>
    <t>new contract for fY22-24</t>
  </si>
  <si>
    <t xml:space="preserve">      21.2. Legal</t>
  </si>
  <si>
    <t xml:space="preserve">         21.21 Town Attorney</t>
  </si>
  <si>
    <t>Ron Bolt</t>
  </si>
  <si>
    <t xml:space="preserve">         21.22 Specialized Legal Svcs.</t>
  </si>
  <si>
    <t>may need advice on trestle bridge, CB House</t>
  </si>
  <si>
    <t xml:space="preserve">      Total 21.2. Legal</t>
  </si>
  <si>
    <t xml:space="preserve">      21.4 Oth Prof Svcs</t>
  </si>
  <si>
    <t>Not needed, covered by LSWG</t>
  </si>
  <si>
    <t>Quickbooks, help with grant proposal</t>
  </si>
  <si>
    <t xml:space="preserve">      21.5 Traffic Study Consultant</t>
  </si>
  <si>
    <t xml:space="preserve">      21.6 Records Ret./Archiving</t>
  </si>
  <si>
    <t>maintenance of records, digitizing</t>
  </si>
  <si>
    <t xml:space="preserve">      21.7 IT Support</t>
  </si>
  <si>
    <t xml:space="preserve">Per 3/18 Mtng - Wordpress Consultant </t>
  </si>
  <si>
    <t>Digital Handyman</t>
  </si>
  <si>
    <t xml:space="preserve">      21.8 Arborist</t>
  </si>
  <si>
    <t xml:space="preserve">      21.9 Town Engineer/Bld. Insp.</t>
  </si>
  <si>
    <t>Per 3/18 Mtng - reduce to $6,000</t>
  </si>
  <si>
    <t>CB House, teardowns, WMATA Bridge, ARPA projects</t>
  </si>
  <si>
    <t xml:space="preserve">      21.10 Accounting Services</t>
  </si>
  <si>
    <t>3/25 - Need to make sure this gets moved from 20.11 in QB 21.10</t>
  </si>
  <si>
    <t>amended by Council 12.11.23</t>
  </si>
  <si>
    <t xml:space="preserve">   Total 21  Professional Services</t>
  </si>
  <si>
    <t xml:space="preserve">   22. Fixed Op Ex</t>
  </si>
  <si>
    <t xml:space="preserve">      22.1 Office &amp; TH Utilities</t>
  </si>
  <si>
    <t xml:space="preserve">         22.11 Electrical</t>
  </si>
  <si>
    <t xml:space="preserve">         22.12 Gas</t>
  </si>
  <si>
    <t>3/23 - Gas is for heat in the Town Hall</t>
  </si>
  <si>
    <t xml:space="preserve">         22.13 Telephone/Internet</t>
  </si>
  <si>
    <t>Town cell phone? Try to negotiate rates</t>
  </si>
  <si>
    <t xml:space="preserve">         22.14 WSSC</t>
  </si>
  <si>
    <t xml:space="preserve">      Total 22.1 Office &amp; TH Utilities</t>
  </si>
  <si>
    <t xml:space="preserve">      22.10 Oth Maint</t>
  </si>
  <si>
    <t>Per 3/18 Mtng - this was used for a sign from Amazon</t>
  </si>
  <si>
    <r>
      <rPr>
        <sz val="12"/>
        <color rgb="FF000000"/>
        <rFont val="Aptos Narrow"/>
      </rPr>
      <t xml:space="preserve">Est $40k-$60k pending RFP for Elevator Upgrade, </t>
    </r>
    <r>
      <rPr>
        <b/>
        <sz val="12"/>
        <color rgb="FFFF0000"/>
        <rFont val="Aptos Narrow"/>
      </rPr>
      <t>paid via ARPA</t>
    </r>
  </si>
  <si>
    <t>HVAC in ARPA 23.4B</t>
  </si>
  <si>
    <t xml:space="preserve">      22.120 Office Furniture &amp; Equip</t>
  </si>
  <si>
    <t>new file cabinet</t>
  </si>
  <si>
    <t xml:space="preserve">      22.2 Office</t>
  </si>
  <si>
    <t xml:space="preserve">         22.21 Office Supplies</t>
  </si>
  <si>
    <t xml:space="preserve">         22.22 Software/Domain</t>
  </si>
  <si>
    <t>$2,500 move to M365, should lead to reduction in costs long term</t>
  </si>
  <si>
    <t xml:space="preserve">Constant contact, zoom, QB increased </t>
  </si>
  <si>
    <t xml:space="preserve">         22.23 Copier Rental</t>
  </si>
  <si>
    <t>new lease as of 3/2023</t>
  </si>
  <si>
    <t xml:space="preserve">      Total 22.2 Office</t>
  </si>
  <si>
    <t xml:space="preserve">      22.3 Bank Fees</t>
  </si>
  <si>
    <t>credit card fee, bank fees</t>
  </si>
  <si>
    <t xml:space="preserve">      22.4 Website</t>
  </si>
  <si>
    <t>Per 3/18 Mtng - Wordpress hosting fees for glenecho.org</t>
  </si>
  <si>
    <t>help with formatting</t>
  </si>
  <si>
    <t xml:space="preserve">      22.5 Ins &amp; Bond</t>
  </si>
  <si>
    <t xml:space="preserve">      22.6 Dues, Subs., Conf.</t>
  </si>
  <si>
    <t>reduce conference fees until pandemic over</t>
  </si>
  <si>
    <t xml:space="preserve">      22.7 Admin</t>
  </si>
  <si>
    <t xml:space="preserve">         22.71 Admin. Payroll Fee</t>
  </si>
  <si>
    <t>Not longer needed, now covered by LSWG</t>
  </si>
  <si>
    <t>Valley Payroll cheaper than Paychex was</t>
  </si>
  <si>
    <t xml:space="preserve">         22.72 Flyer Delivery Charges</t>
  </si>
  <si>
    <t xml:space="preserve">         22.73 Miscl. Admin Fee</t>
  </si>
  <si>
    <t>Per 3/18 Mtng - remove this item</t>
  </si>
  <si>
    <t xml:space="preserve">      Total 22.7 Admin</t>
  </si>
  <si>
    <t xml:space="preserve">      22.8  Echo</t>
  </si>
  <si>
    <t>180-214/month</t>
  </si>
  <si>
    <t xml:space="preserve">      22.9 Town Hall</t>
  </si>
  <si>
    <t xml:space="preserve">         22.91 TH Supplies</t>
  </si>
  <si>
    <t xml:space="preserve">paper towels, filters, </t>
  </si>
  <si>
    <t xml:space="preserve">         22.92 TH Cleaning Service</t>
  </si>
  <si>
    <t>Marceli Cleaning Services</t>
  </si>
  <si>
    <t xml:space="preserve">         22.93 TH Maintenance</t>
  </si>
  <si>
    <t>Per 3/18 Mtng - Increase this to $5,000</t>
  </si>
  <si>
    <t>Filter changes, other regular maint, inspections</t>
  </si>
  <si>
    <t xml:space="preserve">         22.94 TH Elevator Maintenance</t>
  </si>
  <si>
    <t>yearly maintenance and expenses</t>
  </si>
  <si>
    <t xml:space="preserve">         22.95 Covid Disinfection</t>
  </si>
  <si>
    <t xml:space="preserve">      Total 22.9 Town Hall</t>
  </si>
  <si>
    <t xml:space="preserve">   Total 22. Fixed Op Ex</t>
  </si>
  <si>
    <t xml:space="preserve">   23 Streets</t>
  </si>
  <si>
    <t xml:space="preserve">      23.1 Streetlights</t>
  </si>
  <si>
    <t xml:space="preserve">      23.2 Street Sweeping</t>
  </si>
  <si>
    <t>Per 3/18 Mtng - Increase to $3000</t>
  </si>
  <si>
    <t>per cleaning</t>
  </si>
  <si>
    <t xml:space="preserve">      23.3 Street Signs</t>
  </si>
  <si>
    <t>Signs for 43 Wellsley and Joe Cutro's work</t>
  </si>
  <si>
    <t>new welcome to GE Sign?</t>
  </si>
  <si>
    <t xml:space="preserve">         23.4A CBT StormWater</t>
  </si>
  <si>
    <t>Chesapeake Bay Trust Grant pays for  Coastal Resources</t>
  </si>
  <si>
    <t xml:space="preserve">         23.4B ARP Expenditures</t>
  </si>
  <si>
    <t>Columbia,  streetsigns and HVAC</t>
  </si>
  <si>
    <t xml:space="preserve">      Total 23.4 Stormwater Projects</t>
  </si>
  <si>
    <t xml:space="preserve">potholes, </t>
  </si>
  <si>
    <t xml:space="preserve">      23.6 Sidewalk Repair</t>
  </si>
  <si>
    <t>3/23 - only exp in QB was for sidewalk on university ave</t>
  </si>
  <si>
    <t xml:space="preserve">   Total 23 Streets</t>
  </si>
  <si>
    <t xml:space="preserve">   24 Town Services</t>
  </si>
  <si>
    <t xml:space="preserve">      24.2 Landscape</t>
  </si>
  <si>
    <t xml:space="preserve">         24.21 TH Landscaping</t>
  </si>
  <si>
    <t>Level Green, increased by $1,000</t>
  </si>
  <si>
    <t>new landscaper;  parks and ROW mowing, weed spraying, drain cleaning, veg cutback</t>
  </si>
  <si>
    <t xml:space="preserve">         24.22 Town Right of Way</t>
  </si>
  <si>
    <t>Level Green - 3/23 Dia to contact LG for details</t>
  </si>
  <si>
    <t xml:space="preserve">         24.24 Gardening</t>
  </si>
  <si>
    <t>Plants for TH, Weeding by Shimizu Landscape</t>
  </si>
  <si>
    <t>new category, weeding, planting, 2X/month</t>
  </si>
  <si>
    <t>Getting details</t>
  </si>
  <si>
    <t xml:space="preserve">      Total 24.2 Landscape</t>
  </si>
  <si>
    <t xml:space="preserve">      24.3 Snow Removal</t>
  </si>
  <si>
    <t>Per 3/18 Mtng - reduce this to $20,000</t>
  </si>
  <si>
    <t xml:space="preserve">      24.4  Refuse/Recycling</t>
  </si>
  <si>
    <t>Key Sanitation, increase by $1200</t>
  </si>
  <si>
    <t>Key Sanitation increase $300/month due to deisel fuel prices July and August Amended July 11 2022 add $3000</t>
  </si>
  <si>
    <t xml:space="preserve">      24.5 Town Trees</t>
  </si>
  <si>
    <t xml:space="preserve">         24.51 Town Tree Pruning</t>
  </si>
  <si>
    <t>Per 3/18 Mtng - Increase to $8,000</t>
  </si>
  <si>
    <t xml:space="preserve">         24.52 Town Tree Removal</t>
  </si>
  <si>
    <t xml:space="preserve">      Total 24.5 Town Trees</t>
  </si>
  <si>
    <t xml:space="preserve">      24.6 Leaf Removal</t>
  </si>
  <si>
    <t>Per 3/18 Mtng - Change from 5 to 4 pickups - Dia to get new price</t>
  </si>
  <si>
    <t>5 pickups</t>
  </si>
  <si>
    <t xml:space="preserve">      24.7 Community Events</t>
  </si>
  <si>
    <t>Summer party, Halloween, Holiday Brunch, volunteer appr.</t>
  </si>
  <si>
    <t xml:space="preserve">         24.71 Livable Community Committ</t>
  </si>
  <si>
    <t xml:space="preserve">      Total 24.7 Community Events</t>
  </si>
  <si>
    <t xml:space="preserve">      24.9 Community Contribution</t>
  </si>
  <si>
    <t xml:space="preserve">2,000 to GEPPAC; 1,000 to GEFD </t>
  </si>
  <si>
    <t>24.10 Storm Cleanup</t>
  </si>
  <si>
    <t>Proposed New Category for storm damage / cleanup expenses</t>
  </si>
  <si>
    <t xml:space="preserve">   Total 24 Town Services</t>
  </si>
  <si>
    <t>Ask My Accountant</t>
  </si>
  <si>
    <t>Montcomery Cty Deposits - under investigation</t>
  </si>
  <si>
    <t>Getting Details</t>
  </si>
  <si>
    <t xml:space="preserve">   24.8 Wynne Repayment FY20</t>
  </si>
  <si>
    <t xml:space="preserve">   Depreciation expense</t>
  </si>
  <si>
    <t xml:space="preserve">   Reconciliation Discrepancies</t>
  </si>
  <si>
    <t>Total Expenses</t>
  </si>
  <si>
    <t>Net Income</t>
  </si>
  <si>
    <t>Net Operating Income</t>
  </si>
  <si>
    <t>Other Income</t>
  </si>
  <si>
    <t xml:space="preserve">   Loss of Disposition of F/A</t>
  </si>
  <si>
    <t>Total Other Income</t>
  </si>
  <si>
    <t>Net Other Income</t>
  </si>
  <si>
    <t>Reconciliation of Proposed FY 2025 Budget Net Income to "Operating" Net Income</t>
  </si>
  <si>
    <r>
      <rPr>
        <b/>
        <sz val="12"/>
        <color rgb="FF000000"/>
        <rFont val="Calibri"/>
        <family val="2"/>
      </rPr>
      <t xml:space="preserve">Total Income </t>
    </r>
    <r>
      <rPr>
        <sz val="12"/>
        <color rgb="FF000000"/>
        <rFont val="Calibri"/>
        <family val="2"/>
      </rPr>
      <t>(per Proposed Budget)</t>
    </r>
  </si>
  <si>
    <r>
      <rPr>
        <b/>
        <sz val="12"/>
        <color rgb="FF000000"/>
        <rFont val="Calibri"/>
        <family val="2"/>
      </rPr>
      <t>Less: Total Expenses</t>
    </r>
    <r>
      <rPr>
        <sz val="12"/>
        <color rgb="FF000000"/>
        <rFont val="Calibri"/>
        <family val="2"/>
      </rPr>
      <t xml:space="preserve"> (per Proposed Budget)</t>
    </r>
  </si>
  <si>
    <r>
      <rPr>
        <b/>
        <sz val="12"/>
        <color rgb="FF000000"/>
        <rFont val="Calibri"/>
        <family val="2"/>
      </rPr>
      <t xml:space="preserve">Net Income </t>
    </r>
    <r>
      <rPr>
        <sz val="12"/>
        <color rgb="FF000000"/>
        <rFont val="Calibri"/>
        <family val="2"/>
      </rPr>
      <t>(per Proposed Budget)</t>
    </r>
  </si>
  <si>
    <t>"Non-Operating" Expenses included above:</t>
  </si>
  <si>
    <t>Elevator Upgrades (Budget Line Item: 22.110 T H Improv)</t>
  </si>
  <si>
    <t>Stormwater Projects (Budget Line Item: 23.4 Stormwater Projects)</t>
  </si>
  <si>
    <t>Other (1)</t>
  </si>
  <si>
    <t>Other (2)</t>
  </si>
  <si>
    <t>Other (3)</t>
  </si>
  <si>
    <t>Other (4)</t>
  </si>
  <si>
    <t>"Operating" Net Income</t>
  </si>
  <si>
    <t>NOTES:</t>
  </si>
  <si>
    <t>The purpose of this Reconciliation is to show what the actual "Operating" Net Income is for FY 2025 after removing  ARPA Expenditures, which are one-time, non-operating items.</t>
  </si>
  <si>
    <t>QUESTIONS:</t>
  </si>
  <si>
    <t>Analysis of ARPA Funds Received in FY 2024</t>
  </si>
  <si>
    <t>ARPA Funds Received (FY '24)</t>
  </si>
  <si>
    <t>Proposed (Budgeted) Expenditures in FY '25 Budget:</t>
  </si>
  <si>
    <t>Unbudgeted ARPA Funds</t>
  </si>
  <si>
    <r>
      <rPr>
        <sz val="12"/>
        <color rgb="FF000000"/>
        <rFont val="Calibri"/>
        <family val="2"/>
      </rPr>
      <t>ARPA funds received are required to be "</t>
    </r>
    <r>
      <rPr>
        <sz val="12"/>
        <color rgb="FFFF0000"/>
        <rFont val="Calibri"/>
        <family val="2"/>
      </rPr>
      <t>obligated</t>
    </r>
    <r>
      <rPr>
        <sz val="12"/>
        <color rgb="FF000000"/>
        <rFont val="Calibri"/>
        <family val="2"/>
      </rPr>
      <t>" no later than 12/31/24.</t>
    </r>
  </si>
  <si>
    <t>ARPA funds must be spent by 12/31/26.</t>
  </si>
  <si>
    <r>
      <rPr>
        <sz val="12"/>
        <color rgb="FF000000"/>
        <rFont val="Calibri"/>
        <family val="2"/>
      </rPr>
      <t>Does being "</t>
    </r>
    <r>
      <rPr>
        <sz val="12"/>
        <color rgb="FFFF0000"/>
        <rFont val="Calibri"/>
        <family val="2"/>
      </rPr>
      <t>obligated</t>
    </r>
    <r>
      <rPr>
        <sz val="12"/>
        <color rgb="FF000000"/>
        <rFont val="Calibri"/>
        <family val="2"/>
      </rPr>
      <t>" mean that a signed Contract or Purchase Order is needed?</t>
    </r>
  </si>
  <si>
    <t>Have all ARPA Funds received in FY 2023 ($68,356.76) been obligated/spent?</t>
  </si>
  <si>
    <t>yes for town signs, HVAC and stormwater repairs on Columbia</t>
  </si>
  <si>
    <t>We have new monies for stormwater so need to take out of arps and put in LBI new category</t>
  </si>
  <si>
    <t>We also got a mini grant for the garden for $4,901.00 yesterday so maybe we need a new line item for that</t>
  </si>
  <si>
    <t>12.3 Legislative Bond Initiative</t>
  </si>
  <si>
    <t>To be used only for Stormwater Management</t>
  </si>
  <si>
    <r>
      <rPr>
        <sz val="12"/>
        <color rgb="FF000000"/>
        <rFont val="Calibri"/>
        <family val="2"/>
      </rPr>
      <t xml:space="preserve">Est $60,000-$80,000 pending RFP to be </t>
    </r>
    <r>
      <rPr>
        <b/>
        <sz val="12"/>
        <color rgb="FFFF0000"/>
        <rFont val="Calibri"/>
        <family val="2"/>
      </rPr>
      <t>paid from LBI (12.3)</t>
    </r>
  </si>
  <si>
    <t>DELETE THIS LINE ITEM</t>
  </si>
  <si>
    <t>ARPA FUNDS FOR STREETS AND STRIPING</t>
  </si>
  <si>
    <t>Important Notes</t>
  </si>
  <si>
    <r>
      <t xml:space="preserve">      22.110 T H Improv </t>
    </r>
    <r>
      <rPr>
        <b/>
        <vertAlign val="superscript"/>
        <sz val="14"/>
        <color rgb="FFFF0000"/>
        <rFont val="Arial"/>
        <family val="2"/>
      </rPr>
      <t>1</t>
    </r>
  </si>
  <si>
    <r>
      <t xml:space="preserve">      23.5 Street Repair</t>
    </r>
    <r>
      <rPr>
        <b/>
        <vertAlign val="superscript"/>
        <sz val="14"/>
        <color rgb="FFFF0000"/>
        <rFont val="Arial"/>
        <family val="2"/>
      </rPr>
      <t>3</t>
    </r>
  </si>
  <si>
    <r>
      <t xml:space="preserve">      23.4 Stormwater Projects</t>
    </r>
    <r>
      <rPr>
        <b/>
        <vertAlign val="superscript"/>
        <sz val="14"/>
        <color rgb="FFFF0000"/>
        <rFont val="Arial"/>
        <family val="2"/>
      </rPr>
      <t>2</t>
    </r>
  </si>
  <si>
    <r>
      <rPr>
        <b/>
        <vertAlign val="superscript"/>
        <sz val="14"/>
        <color rgb="FFFF0000"/>
        <rFont val="Arial"/>
        <family val="2"/>
      </rPr>
      <t>2</t>
    </r>
    <r>
      <rPr>
        <b/>
        <sz val="14"/>
        <color indexed="8"/>
        <rFont val="Arial"/>
        <family val="2"/>
      </rPr>
      <t xml:space="preserve"> 23.4 Stormwater Projects: Stormwater management in front of Town Hall and on right-of-way.  This will be paid by a MD Legislative Bond Initiative.</t>
    </r>
  </si>
  <si>
    <t>Propose removing this due to CB Grant Funding for Garden</t>
  </si>
  <si>
    <r>
      <t>24.11 Community Garden</t>
    </r>
    <r>
      <rPr>
        <b/>
        <vertAlign val="superscript"/>
        <sz val="14"/>
        <color rgb="FFFF0000"/>
        <rFont val="Arial"/>
        <family val="2"/>
      </rPr>
      <t>4</t>
    </r>
  </si>
  <si>
    <r>
      <rPr>
        <b/>
        <vertAlign val="superscript"/>
        <sz val="14"/>
        <color rgb="FFFF0000"/>
        <rFont val="Arial"/>
        <family val="2"/>
      </rPr>
      <t>4</t>
    </r>
    <r>
      <rPr>
        <b/>
        <sz val="14"/>
        <color indexed="8"/>
        <rFont val="Arial"/>
        <family val="2"/>
      </rPr>
      <t xml:space="preserve"> 24.11 Community Garden: This will be paid by a grant from Chesapeake Bay Trust.</t>
    </r>
  </si>
  <si>
    <r>
      <rPr>
        <b/>
        <vertAlign val="superscript"/>
        <sz val="14"/>
        <color rgb="FFFF0000"/>
        <rFont val="Arial"/>
        <family val="2"/>
      </rPr>
      <t>3</t>
    </r>
    <r>
      <rPr>
        <b/>
        <sz val="14"/>
        <color indexed="8"/>
        <rFont val="Arial"/>
        <family val="2"/>
      </rPr>
      <t xml:space="preserve"> 23.5 Street Repair: Road repair and striping. This will be paid from existing ARPA funds to be obligated by end of 2024</t>
    </r>
  </si>
  <si>
    <r>
      <rPr>
        <b/>
        <vertAlign val="superscript"/>
        <sz val="14"/>
        <color rgb="FFFF0000"/>
        <rFont val="Arial"/>
        <family val="2"/>
      </rPr>
      <t>1</t>
    </r>
    <r>
      <rPr>
        <b/>
        <sz val="14"/>
        <color indexed="8"/>
        <rFont val="Arial"/>
        <family val="2"/>
      </rPr>
      <t xml:space="preserve"> 22.110 TH Improvement: Includes a new elevator for the town hall as well as potential upgrades to the community area upstairs in the town hall.  This will be paid by existing ARPA funds to be obligated by end of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</si>
</sst>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0.00\ _€"/>
    <numFmt numFmtId="165" formatCode="&quot;$&quot;* #,##0.00\ _€"/>
    <numFmt numFmtId="166" formatCode="_([$$-409]* #,##0.00_);_([$$-409]* \(#,##0.00\);_([$$-409]* &quot;-&quot;??_);_(@_)"/>
  </numFmts>
  <fonts count="33" x14ac:knownFonts="1">
    <font>
      <sz val="11"/>
      <color indexed="8"/>
      <name val="Aptos Narrow"/>
      <family val="2"/>
      <scheme val="minor"/>
    </font>
    <font>
      <sz val="8"/>
      <color indexed="8"/>
      <name val="Arial"/>
      <family val="2"/>
    </font>
    <font>
      <b/>
      <sz val="8"/>
      <color indexed="8"/>
      <name val="Arial"/>
      <family val="2"/>
    </font>
    <font>
      <sz val="8"/>
      <name val="Aptos Narrow"/>
      <family val="2"/>
      <scheme val="minor"/>
    </font>
    <font>
      <sz val="12"/>
      <color indexed="8"/>
      <name val="Aptos Narrow"/>
      <family val="2"/>
      <scheme val="minor"/>
    </font>
    <font>
      <sz val="12"/>
      <color indexed="8"/>
      <name val="Calibri"/>
      <family val="2"/>
    </font>
    <font>
      <sz val="12"/>
      <color theme="1"/>
      <name val="Calibri"/>
      <family val="2"/>
    </font>
    <font>
      <b/>
      <sz val="12"/>
      <color indexed="8"/>
      <name val="Calibri"/>
      <family val="2"/>
    </font>
    <font>
      <b/>
      <sz val="15"/>
      <color theme="3"/>
      <name val="Aptos Narrow"/>
      <family val="2"/>
      <scheme val="minor"/>
    </font>
    <font>
      <b/>
      <sz val="12"/>
      <color theme="1"/>
      <name val="Aptos Narrow"/>
      <family val="2"/>
      <scheme val="minor"/>
    </font>
    <font>
      <b/>
      <sz val="12"/>
      <color indexed="8"/>
      <name val="Arial"/>
      <family val="2"/>
    </font>
    <font>
      <b/>
      <sz val="12"/>
      <color indexed="8"/>
      <name val="Aptos Narrow"/>
      <scheme val="minor"/>
    </font>
    <font>
      <b/>
      <sz val="12"/>
      <color theme="3"/>
      <name val="Aptos Narrow"/>
      <family val="2"/>
      <scheme val="minor"/>
    </font>
    <font>
      <sz val="12"/>
      <color indexed="8"/>
      <name val="Arial"/>
      <family val="2"/>
    </font>
    <font>
      <sz val="12"/>
      <color rgb="FFFF0000"/>
      <name val="Calibri"/>
      <family val="2"/>
    </font>
    <font>
      <b/>
      <sz val="14"/>
      <color theme="1"/>
      <name val="Aptos Narrow"/>
      <family val="2"/>
      <scheme val="minor"/>
    </font>
    <font>
      <sz val="12"/>
      <color rgb="FF000000"/>
      <name val="Aptos Narrow"/>
    </font>
    <font>
      <sz val="12"/>
      <color rgb="FF000000"/>
      <name val="Calibri"/>
      <family val="2"/>
    </font>
    <font>
      <b/>
      <sz val="12"/>
      <color rgb="FFFF0000"/>
      <name val="Calibri"/>
      <family val="2"/>
    </font>
    <font>
      <sz val="12"/>
      <color theme="1"/>
      <name val="Calibri"/>
      <family val="2"/>
    </font>
    <font>
      <sz val="12"/>
      <color indexed="8"/>
      <name val="Calibri"/>
      <family val="2"/>
    </font>
    <font>
      <b/>
      <sz val="12"/>
      <color indexed="8"/>
      <name val="Calibri"/>
      <family val="2"/>
    </font>
    <font>
      <sz val="11"/>
      <color rgb="FF000000"/>
      <name val="Aptos Narrow"/>
    </font>
    <font>
      <b/>
      <sz val="12"/>
      <color rgb="FFFF0000"/>
      <name val="Aptos Narrow"/>
    </font>
    <font>
      <sz val="12"/>
      <color theme="1"/>
      <name val="Aptos Narrow"/>
    </font>
    <font>
      <b/>
      <sz val="14"/>
      <color indexed="8"/>
      <name val="Calibri"/>
      <family val="2"/>
    </font>
    <font>
      <b/>
      <sz val="12"/>
      <color rgb="FF000000"/>
      <name val="Calibri"/>
      <family val="2"/>
    </font>
    <font>
      <sz val="12"/>
      <color rgb="FFFF0000"/>
      <name val="Calibri"/>
      <family val="2"/>
    </font>
    <font>
      <b/>
      <sz val="14"/>
      <color indexed="8"/>
      <name val="Arial"/>
      <family val="2"/>
    </font>
    <font>
      <b/>
      <vertAlign val="superscript"/>
      <sz val="14"/>
      <color rgb="FFFF0000"/>
      <name val="Arial"/>
      <family val="2"/>
    </font>
    <font>
      <sz val="14"/>
      <color indexed="8"/>
      <name val="Arial"/>
      <family val="2"/>
    </font>
    <font>
      <sz val="14"/>
      <color rgb="FFFF0000"/>
      <name val="Calibri"/>
      <family val="2"/>
    </font>
    <font>
      <sz val="14"/>
      <color theme="1"/>
      <name val="Calibri"/>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3">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auto="1"/>
      </top>
      <bottom style="thin">
        <color indexed="64"/>
      </bottom>
      <diagonal/>
    </border>
    <border>
      <left style="medium">
        <color indexed="64"/>
      </left>
      <right style="medium">
        <color indexed="64"/>
      </right>
      <top/>
      <bottom/>
      <diagonal/>
    </border>
    <border>
      <left/>
      <right/>
      <top/>
      <bottom style="thick">
        <color theme="4"/>
      </bottom>
      <diagonal/>
    </border>
    <border>
      <left/>
      <right/>
      <top style="thin">
        <color theme="4"/>
      </top>
      <bottom style="double">
        <color theme="4"/>
      </bottom>
      <diagonal/>
    </border>
    <border>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ck">
        <color theme="4"/>
      </bottom>
      <diagonal/>
    </border>
    <border>
      <left style="medium">
        <color indexed="64"/>
      </left>
      <right style="medium">
        <color indexed="64"/>
      </right>
      <top style="thin">
        <color theme="4"/>
      </top>
      <bottom style="double">
        <color theme="4"/>
      </bottom>
      <diagonal/>
    </border>
    <border>
      <left/>
      <right style="medium">
        <color indexed="64"/>
      </right>
      <top style="thin">
        <color indexed="64"/>
      </top>
      <bottom style="thick">
        <color theme="4"/>
      </bottom>
      <diagonal/>
    </border>
    <border>
      <left style="medium">
        <color indexed="64"/>
      </left>
      <right style="medium">
        <color indexed="64"/>
      </right>
      <top/>
      <bottom style="thick">
        <color theme="4"/>
      </bottom>
      <diagonal/>
    </border>
    <border>
      <left style="medium">
        <color indexed="64"/>
      </left>
      <right style="medium">
        <color indexed="64"/>
      </right>
      <top style="thin">
        <color indexed="64"/>
      </top>
      <bottom style="thick">
        <color theme="4"/>
      </bottom>
      <diagonal/>
    </border>
    <border>
      <left/>
      <right style="medium">
        <color indexed="64"/>
      </right>
      <top style="thin">
        <color theme="4"/>
      </top>
      <bottom style="double">
        <color theme="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n">
        <color rgb="FF000000"/>
      </bottom>
      <diagonal/>
    </border>
    <border>
      <left/>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7" applyNumberFormat="0" applyFill="0" applyAlignment="0" applyProtection="0"/>
    <xf numFmtId="0" fontId="9" fillId="0" borderId="8" applyNumberFormat="0" applyFill="0" applyAlignment="0" applyProtection="0"/>
  </cellStyleXfs>
  <cellXfs count="93">
    <xf numFmtId="0" fontId="0" fillId="0" borderId="0" xfId="0"/>
    <xf numFmtId="164" fontId="1" fillId="0" borderId="0" xfId="0" applyNumberFormat="1" applyFont="1" applyAlignment="1">
      <alignment wrapText="1"/>
    </xf>
    <xf numFmtId="164" fontId="1" fillId="0" borderId="0" xfId="0" applyNumberFormat="1" applyFont="1" applyAlignment="1">
      <alignment horizontal="right" wrapText="1"/>
    </xf>
    <xf numFmtId="165" fontId="2" fillId="0" borderId="2" xfId="0" applyNumberFormat="1" applyFont="1" applyBorder="1" applyAlignment="1">
      <alignment horizontal="right" wrapText="1"/>
    </xf>
    <xf numFmtId="0" fontId="6" fillId="0" borderId="6" xfId="0" applyFont="1" applyBorder="1" applyAlignment="1">
      <alignment horizontal="center"/>
    </xf>
    <xf numFmtId="0" fontId="5" fillId="0" borderId="0" xfId="0" applyFont="1"/>
    <xf numFmtId="8" fontId="0" fillId="0" borderId="0" xfId="0" applyNumberFormat="1"/>
    <xf numFmtId="0" fontId="7" fillId="0" borderId="13" xfId="0" applyFont="1" applyBorder="1" applyAlignment="1">
      <alignment horizontal="center" wrapText="1"/>
    </xf>
    <xf numFmtId="0" fontId="4" fillId="0" borderId="6" xfId="0" applyFont="1" applyBorder="1" applyAlignment="1">
      <alignment horizontal="center"/>
    </xf>
    <xf numFmtId="0" fontId="4" fillId="0" borderId="0" xfId="0" applyFont="1" applyAlignment="1">
      <alignment wrapText="1"/>
    </xf>
    <xf numFmtId="0" fontId="10" fillId="0" borderId="3" xfId="0" applyFont="1" applyBorder="1" applyAlignment="1">
      <alignment horizontal="center" wrapText="1"/>
    </xf>
    <xf numFmtId="0" fontId="10" fillId="2" borderId="3" xfId="0" applyFont="1" applyFill="1" applyBorder="1" applyAlignment="1">
      <alignment horizontal="center" wrapText="1"/>
    </xf>
    <xf numFmtId="0" fontId="11" fillId="0" borderId="21" xfId="0" applyFont="1" applyBorder="1" applyAlignment="1">
      <alignment horizontal="center"/>
    </xf>
    <xf numFmtId="164" fontId="12" fillId="0" borderId="7" xfId="1" applyNumberFormat="1" applyFont="1" applyAlignment="1">
      <alignment wrapText="1"/>
    </xf>
    <xf numFmtId="0" fontId="12" fillId="2" borderId="17" xfId="1" applyFont="1" applyFill="1" applyBorder="1"/>
    <xf numFmtId="0" fontId="12" fillId="0" borderId="19" xfId="1" applyFont="1" applyBorder="1" applyAlignment="1">
      <alignment horizontal="center"/>
    </xf>
    <xf numFmtId="0" fontId="12" fillId="0" borderId="19" xfId="1" applyFont="1" applyBorder="1"/>
    <xf numFmtId="0" fontId="10" fillId="0" borderId="4" xfId="0" applyFont="1" applyBorder="1" applyAlignment="1">
      <alignment horizontal="left" wrapText="1"/>
    </xf>
    <xf numFmtId="164" fontId="13" fillId="0" borderId="0" xfId="0" applyNumberFormat="1" applyFont="1" applyAlignment="1">
      <alignment horizontal="right" wrapText="1"/>
    </xf>
    <xf numFmtId="164" fontId="13" fillId="2" borderId="0" xfId="0" applyNumberFormat="1" applyFont="1" applyFill="1" applyAlignment="1">
      <alignment horizontal="right" wrapText="1"/>
    </xf>
    <xf numFmtId="164" fontId="13" fillId="0" borderId="0" xfId="0" applyNumberFormat="1" applyFont="1" applyAlignment="1">
      <alignment wrapText="1"/>
    </xf>
    <xf numFmtId="164" fontId="13" fillId="2" borderId="0" xfId="0" applyNumberFormat="1" applyFont="1" applyFill="1" applyAlignment="1">
      <alignment wrapText="1"/>
    </xf>
    <xf numFmtId="0" fontId="10" fillId="0" borderId="12" xfId="0" applyFont="1" applyBorder="1" applyAlignment="1">
      <alignment horizontal="left" wrapText="1"/>
    </xf>
    <xf numFmtId="165" fontId="10" fillId="0" borderId="11" xfId="0" applyNumberFormat="1" applyFont="1" applyBorder="1" applyAlignment="1">
      <alignment horizontal="right" wrapText="1"/>
    </xf>
    <xf numFmtId="165" fontId="10" fillId="2" borderId="11" xfId="0" applyNumberFormat="1" applyFont="1" applyFill="1" applyBorder="1" applyAlignment="1">
      <alignment horizontal="right" wrapText="1"/>
    </xf>
    <xf numFmtId="0" fontId="4" fillId="0" borderId="0" xfId="0" applyFont="1"/>
    <xf numFmtId="0" fontId="4" fillId="2" borderId="0" xfId="0" applyFont="1" applyFill="1"/>
    <xf numFmtId="0" fontId="10" fillId="0" borderId="10" xfId="0" applyFont="1" applyBorder="1" applyAlignment="1">
      <alignment horizontal="left" wrapText="1"/>
    </xf>
    <xf numFmtId="165" fontId="10" fillId="0" borderId="9" xfId="0" applyNumberFormat="1" applyFont="1" applyBorder="1" applyAlignment="1">
      <alignment horizontal="right" wrapText="1"/>
    </xf>
    <xf numFmtId="165" fontId="10" fillId="2" borderId="9" xfId="0" applyNumberFormat="1" applyFont="1" applyFill="1" applyBorder="1" applyAlignment="1">
      <alignment horizontal="right" wrapText="1"/>
    </xf>
    <xf numFmtId="0" fontId="9" fillId="0" borderId="8" xfId="2" applyAlignment="1">
      <alignment horizontal="left" wrapText="1"/>
    </xf>
    <xf numFmtId="165" fontId="9" fillId="0" borderId="8" xfId="2" applyNumberFormat="1" applyAlignment="1">
      <alignment horizontal="right" wrapText="1"/>
    </xf>
    <xf numFmtId="165" fontId="9" fillId="2" borderId="20" xfId="2" applyNumberFormat="1" applyFill="1" applyBorder="1" applyAlignment="1">
      <alignment horizontal="right" wrapText="1"/>
    </xf>
    <xf numFmtId="0" fontId="9" fillId="0" borderId="16" xfId="2" applyBorder="1" applyAlignment="1">
      <alignment horizontal="center"/>
    </xf>
    <xf numFmtId="0" fontId="9" fillId="0" borderId="20" xfId="2" applyBorder="1" applyAlignment="1">
      <alignment horizontal="center"/>
    </xf>
    <xf numFmtId="165" fontId="10" fillId="0" borderId="0" xfId="0" applyNumberFormat="1" applyFont="1" applyAlignment="1">
      <alignment horizontal="right" wrapText="1"/>
    </xf>
    <xf numFmtId="165" fontId="10" fillId="2" borderId="0" xfId="0" applyNumberFormat="1" applyFont="1" applyFill="1" applyAlignment="1">
      <alignment horizontal="right" wrapText="1"/>
    </xf>
    <xf numFmtId="164" fontId="12" fillId="2" borderId="15" xfId="1" applyNumberFormat="1" applyFont="1" applyFill="1" applyBorder="1" applyAlignment="1">
      <alignment wrapText="1"/>
    </xf>
    <xf numFmtId="0" fontId="12" fillId="0" borderId="18" xfId="1" applyFont="1" applyBorder="1" applyAlignment="1">
      <alignment horizontal="center"/>
    </xf>
    <xf numFmtId="0" fontId="10" fillId="0" borderId="3" xfId="0" applyFont="1" applyBorder="1" applyAlignment="1">
      <alignment horizontal="left" wrapText="1"/>
    </xf>
    <xf numFmtId="165" fontId="10" fillId="0" borderId="5" xfId="0" applyNumberFormat="1" applyFont="1" applyBorder="1" applyAlignment="1">
      <alignment horizontal="right" wrapText="1"/>
    </xf>
    <xf numFmtId="165" fontId="10" fillId="2" borderId="14" xfId="0" applyNumberFormat="1" applyFont="1" applyFill="1" applyBorder="1" applyAlignment="1">
      <alignment horizontal="right" wrapText="1"/>
    </xf>
    <xf numFmtId="165" fontId="10" fillId="0" borderId="2" xfId="0" applyNumberFormat="1" applyFont="1" applyBorder="1" applyAlignment="1">
      <alignment horizontal="right" wrapText="1"/>
    </xf>
    <xf numFmtId="165" fontId="10" fillId="2" borderId="2" xfId="0" applyNumberFormat="1" applyFont="1" applyFill="1" applyBorder="1" applyAlignment="1">
      <alignment horizontal="right" wrapText="1"/>
    </xf>
    <xf numFmtId="0" fontId="10" fillId="0" borderId="4" xfId="0" applyFont="1" applyBorder="1" applyAlignment="1">
      <alignment horizontal="left" wrapText="1" indent="1"/>
    </xf>
    <xf numFmtId="164" fontId="13" fillId="0" borderId="1" xfId="0" applyNumberFormat="1" applyFont="1" applyBorder="1" applyAlignment="1">
      <alignment horizontal="right" wrapText="1"/>
    </xf>
    <xf numFmtId="164" fontId="13" fillId="0" borderId="1" xfId="0" applyNumberFormat="1" applyFont="1" applyBorder="1" applyAlignment="1">
      <alignment wrapText="1"/>
    </xf>
    <xf numFmtId="164" fontId="13" fillId="2" borderId="1" xfId="0" applyNumberFormat="1" applyFont="1" applyFill="1" applyBorder="1" applyAlignment="1">
      <alignment wrapText="1"/>
    </xf>
    <xf numFmtId="165" fontId="10" fillId="0" borderId="1" xfId="0" applyNumberFormat="1" applyFont="1" applyBorder="1" applyAlignment="1">
      <alignment horizontal="right" wrapText="1"/>
    </xf>
    <xf numFmtId="165" fontId="10" fillId="2" borderId="1" xfId="0" applyNumberFormat="1" applyFont="1" applyFill="1" applyBorder="1" applyAlignment="1">
      <alignment horizontal="right" wrapText="1"/>
    </xf>
    <xf numFmtId="165" fontId="10" fillId="2" borderId="5" xfId="0" applyNumberFormat="1" applyFont="1" applyFill="1" applyBorder="1" applyAlignment="1">
      <alignment horizontal="right" wrapText="1"/>
    </xf>
    <xf numFmtId="0" fontId="10" fillId="0" borderId="0" xfId="0" applyFont="1" applyAlignment="1">
      <alignment horizontal="left" wrapText="1"/>
    </xf>
    <xf numFmtId="0" fontId="4" fillId="0" borderId="0" xfId="0" applyFont="1" applyAlignment="1">
      <alignment horizontal="center"/>
    </xf>
    <xf numFmtId="0" fontId="10" fillId="0" borderId="4" xfId="0" applyFont="1" applyBorder="1" applyAlignment="1">
      <alignment horizontal="left" wrapText="1" indent="3"/>
    </xf>
    <xf numFmtId="0" fontId="14" fillId="0" borderId="6" xfId="0" applyFont="1" applyBorder="1" applyAlignment="1">
      <alignment horizontal="center"/>
    </xf>
    <xf numFmtId="0" fontId="8" fillId="0" borderId="7" xfId="1" applyFill="1" applyAlignment="1">
      <alignment horizontal="left" wrapText="1"/>
    </xf>
    <xf numFmtId="0" fontId="8" fillId="0" borderId="7" xfId="1"/>
    <xf numFmtId="0" fontId="8" fillId="0" borderId="7" xfId="1" applyAlignment="1">
      <alignment horizontal="center"/>
    </xf>
    <xf numFmtId="0" fontId="8" fillId="0" borderId="7" xfId="1" applyAlignment="1">
      <alignment horizontal="left" wrapText="1"/>
    </xf>
    <xf numFmtId="0" fontId="15" fillId="0" borderId="8" xfId="2" applyFont="1" applyAlignment="1">
      <alignment horizontal="left" wrapText="1"/>
    </xf>
    <xf numFmtId="165" fontId="15" fillId="0" borderId="8" xfId="2" applyNumberFormat="1" applyFont="1" applyAlignment="1">
      <alignment horizontal="right" wrapText="1"/>
    </xf>
    <xf numFmtId="165" fontId="15" fillId="2" borderId="8" xfId="2" applyNumberFormat="1" applyFont="1" applyFill="1" applyAlignment="1">
      <alignment horizontal="right" wrapText="1"/>
    </xf>
    <xf numFmtId="0" fontId="6" fillId="0" borderId="22" xfId="0" applyFont="1" applyBorder="1" applyAlignment="1">
      <alignment horizontal="center"/>
    </xf>
    <xf numFmtId="0" fontId="19" fillId="0" borderId="6" xfId="0" applyFont="1" applyBorder="1" applyAlignment="1">
      <alignment horizontal="center"/>
    </xf>
    <xf numFmtId="0" fontId="20" fillId="0" borderId="0" xfId="0" applyFont="1"/>
    <xf numFmtId="166" fontId="20" fillId="0" borderId="0" xfId="0" applyNumberFormat="1" applyFont="1"/>
    <xf numFmtId="43" fontId="20" fillId="0" borderId="0" xfId="0" applyNumberFormat="1" applyFont="1"/>
    <xf numFmtId="0" fontId="21" fillId="0" borderId="0" xfId="0" applyFont="1"/>
    <xf numFmtId="166" fontId="21" fillId="0" borderId="0" xfId="0" applyNumberFormat="1" applyFont="1"/>
    <xf numFmtId="166" fontId="21" fillId="0" borderId="24" xfId="0" applyNumberFormat="1" applyFont="1" applyBorder="1"/>
    <xf numFmtId="166" fontId="20" fillId="0" borderId="23" xfId="0" applyNumberFormat="1" applyFont="1" applyBorder="1"/>
    <xf numFmtId="166" fontId="21" fillId="0" borderId="23" xfId="0" applyNumberFormat="1" applyFont="1" applyBorder="1"/>
    <xf numFmtId="0" fontId="24" fillId="0" borderId="6" xfId="0" applyFont="1" applyBorder="1" applyAlignment="1">
      <alignment horizontal="center"/>
    </xf>
    <xf numFmtId="166" fontId="21" fillId="0" borderId="28" xfId="0" applyNumberFormat="1" applyFont="1" applyBorder="1"/>
    <xf numFmtId="0" fontId="26" fillId="0" borderId="0" xfId="0" applyFont="1"/>
    <xf numFmtId="0" fontId="27" fillId="0" borderId="0" xfId="0" applyFont="1"/>
    <xf numFmtId="43" fontId="27" fillId="0" borderId="0" xfId="0" applyNumberFormat="1" applyFont="1"/>
    <xf numFmtId="0" fontId="0" fillId="0" borderId="22" xfId="0" applyBorder="1"/>
    <xf numFmtId="0" fontId="8" fillId="0" borderId="0" xfId="1" applyBorder="1"/>
    <xf numFmtId="164" fontId="30" fillId="0" borderId="0" xfId="0" applyNumberFormat="1" applyFont="1" applyAlignment="1">
      <alignment horizontal="right" wrapText="1"/>
    </xf>
    <xf numFmtId="0" fontId="31" fillId="0" borderId="6" xfId="0" applyFont="1" applyBorder="1" applyAlignment="1">
      <alignment horizontal="center"/>
    </xf>
    <xf numFmtId="0" fontId="32" fillId="0" borderId="6" xfId="0" applyFont="1" applyBorder="1" applyAlignment="1">
      <alignment horizontal="center"/>
    </xf>
    <xf numFmtId="0" fontId="28" fillId="0" borderId="31" xfId="0" applyFont="1" applyBorder="1" applyAlignment="1">
      <alignment horizontal="left" wrapText="1"/>
    </xf>
    <xf numFmtId="0" fontId="28" fillId="0" borderId="1" xfId="0" applyFont="1" applyBorder="1" applyAlignment="1">
      <alignment horizontal="left" wrapText="1"/>
    </xf>
    <xf numFmtId="0" fontId="28" fillId="0" borderId="32" xfId="0" applyFont="1" applyBorder="1" applyAlignment="1">
      <alignment horizontal="left" wrapText="1"/>
    </xf>
    <xf numFmtId="0" fontId="6" fillId="0" borderId="6" xfId="0" applyFont="1" applyBorder="1" applyAlignment="1">
      <alignment horizontal="center" wrapText="1"/>
    </xf>
    <xf numFmtId="0" fontId="28" fillId="0" borderId="29" xfId="0" applyFont="1" applyBorder="1" applyAlignment="1">
      <alignment horizontal="left" wrapText="1"/>
    </xf>
    <xf numFmtId="0" fontId="28" fillId="0" borderId="2" xfId="0" applyFont="1" applyBorder="1" applyAlignment="1">
      <alignment horizontal="left" wrapText="1"/>
    </xf>
    <xf numFmtId="0" fontId="28" fillId="0" borderId="30" xfId="0" applyFont="1" applyBorder="1" applyAlignment="1">
      <alignment horizontal="left" wrapText="1"/>
    </xf>
    <xf numFmtId="0" fontId="25" fillId="3" borderId="25" xfId="0" applyFont="1" applyFill="1" applyBorder="1" applyAlignment="1">
      <alignment horizontal="center"/>
    </xf>
    <xf numFmtId="0" fontId="25" fillId="3" borderId="26" xfId="0" applyFont="1" applyFill="1" applyBorder="1" applyAlignment="1">
      <alignment horizontal="center"/>
    </xf>
    <xf numFmtId="0" fontId="25" fillId="3" borderId="27" xfId="0" applyFont="1" applyFill="1" applyBorder="1" applyAlignment="1">
      <alignment horizontal="center"/>
    </xf>
    <xf numFmtId="0" fontId="22" fillId="0" borderId="0" xfId="0" applyFont="1" applyAlignment="1">
      <alignment horizontal="left" vertical="top" wrapText="1"/>
    </xf>
  </cellXfs>
  <cellStyles count="3">
    <cellStyle name="Heading 1" xfId="1" builtinId="16"/>
    <cellStyle name="Normal" xfId="0" builtinId="0"/>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43"/>
  <sheetViews>
    <sheetView tabSelected="1" zoomScaleNormal="100" workbookViewId="0">
      <pane xSplit="1" ySplit="1" topLeftCell="D109" activePane="bottomRight" state="frozen"/>
      <selection pane="topRight" activeCell="B1" sqref="B1"/>
      <selection pane="bottomLeft" activeCell="A2" sqref="A2"/>
      <selection pane="bottomRight" activeCell="G116" sqref="G116"/>
    </sheetView>
  </sheetViews>
  <sheetFormatPr baseColWidth="10" defaultColWidth="8.83203125" defaultRowHeight="16" outlineLevelRow="1" outlineLevelCol="1" x14ac:dyDescent="0.2"/>
  <cols>
    <col min="1" max="1" width="39.1640625" style="25" bestFit="1" customWidth="1"/>
    <col min="2" max="2" width="13.83203125" style="25" hidden="1" customWidth="1" outlineLevel="1"/>
    <col min="3" max="3" width="15.5" style="25" hidden="1" customWidth="1" outlineLevel="1"/>
    <col min="4" max="4" width="16.1640625" style="25" customWidth="1" collapsed="1"/>
    <col min="5" max="5" width="16.1640625" style="25" customWidth="1"/>
    <col min="6" max="6" width="15.33203125" style="25" customWidth="1"/>
    <col min="7" max="7" width="15.33203125" style="25" bestFit="1" customWidth="1"/>
    <col min="8" max="8" width="61" style="52" hidden="1" customWidth="1" outlineLevel="1"/>
    <col min="9" max="9" width="59.33203125" style="5" hidden="1" customWidth="1" outlineLevel="1"/>
    <col min="10" max="10" width="20.33203125" style="52" hidden="1" customWidth="1" outlineLevel="1"/>
    <col min="11" max="11" width="8.83203125" collapsed="1"/>
    <col min="13" max="13" width="9.83203125" bestFit="1" customWidth="1"/>
  </cols>
  <sheetData>
    <row r="1" spans="1:10" ht="35" customHeight="1" x14ac:dyDescent="0.2">
      <c r="A1" s="9"/>
      <c r="B1" s="10" t="s">
        <v>0</v>
      </c>
      <c r="C1" s="10" t="s">
        <v>1</v>
      </c>
      <c r="D1" s="10" t="s">
        <v>2</v>
      </c>
      <c r="E1" s="10" t="s">
        <v>3</v>
      </c>
      <c r="F1" s="10" t="s">
        <v>4</v>
      </c>
      <c r="G1" s="11" t="s">
        <v>5</v>
      </c>
      <c r="H1" s="7" t="s">
        <v>6</v>
      </c>
      <c r="I1" s="7" t="s">
        <v>7</v>
      </c>
      <c r="J1" s="12" t="s">
        <v>8</v>
      </c>
    </row>
    <row r="2" spans="1:10" ht="22" thickBot="1" x14ac:dyDescent="0.3">
      <c r="A2" s="58" t="s">
        <v>9</v>
      </c>
      <c r="B2" s="13"/>
      <c r="C2" s="13"/>
      <c r="D2" s="13"/>
      <c r="E2" s="13"/>
      <c r="F2" s="13"/>
      <c r="G2" s="14"/>
      <c r="H2" s="15"/>
      <c r="I2" s="16"/>
      <c r="J2" s="16"/>
    </row>
    <row r="3" spans="1:10" ht="18" thickTop="1" x14ac:dyDescent="0.2">
      <c r="A3" s="17" t="s">
        <v>10</v>
      </c>
      <c r="B3" s="18">
        <f>136898.98</f>
        <v>136898.98000000001</v>
      </c>
      <c r="C3" s="18">
        <f>141029.07</f>
        <v>141029.07</v>
      </c>
      <c r="D3" s="18">
        <f>146490.09</f>
        <v>146490.09</v>
      </c>
      <c r="E3" s="18">
        <f>153597.02</f>
        <v>153597.01999999999</v>
      </c>
      <c r="F3" s="18">
        <f>140000</f>
        <v>140000</v>
      </c>
      <c r="G3" s="19">
        <v>160000</v>
      </c>
      <c r="H3" s="4" t="s">
        <v>11</v>
      </c>
      <c r="I3" s="4" t="s">
        <v>12</v>
      </c>
      <c r="J3" s="4" t="s">
        <v>13</v>
      </c>
    </row>
    <row r="4" spans="1:10" ht="17" x14ac:dyDescent="0.2">
      <c r="A4" s="17" t="s">
        <v>14</v>
      </c>
      <c r="B4" s="20"/>
      <c r="C4" s="20"/>
      <c r="D4" s="20"/>
      <c r="E4" s="20"/>
      <c r="F4" s="20"/>
      <c r="G4" s="21"/>
      <c r="H4" s="4"/>
      <c r="I4" s="4"/>
      <c r="J4" s="4"/>
    </row>
    <row r="5" spans="1:10" ht="17" x14ac:dyDescent="0.2">
      <c r="A5" s="17" t="s">
        <v>15</v>
      </c>
      <c r="B5" s="18">
        <f>1940.53</f>
        <v>1940.53</v>
      </c>
      <c r="C5" s="18">
        <f>1090.41</f>
        <v>1090.4100000000001</v>
      </c>
      <c r="D5" s="18">
        <f>2694.16</f>
        <v>2694.16</v>
      </c>
      <c r="E5" s="18">
        <f>1357.36</f>
        <v>1357.36</v>
      </c>
      <c r="F5" s="18">
        <f>1500</f>
        <v>1500</v>
      </c>
      <c r="G5" s="19">
        <f>1500</f>
        <v>1500</v>
      </c>
      <c r="H5" s="4" t="s">
        <v>16</v>
      </c>
      <c r="I5" s="4" t="s">
        <v>17</v>
      </c>
      <c r="J5" s="4" t="s">
        <v>13</v>
      </c>
    </row>
    <row r="6" spans="1:10" ht="17" x14ac:dyDescent="0.2">
      <c r="A6" s="17" t="s">
        <v>18</v>
      </c>
      <c r="B6" s="18">
        <f>123.92</f>
        <v>123.92</v>
      </c>
      <c r="C6" s="20"/>
      <c r="D6" s="20"/>
      <c r="E6" s="20"/>
      <c r="F6" s="18">
        <f>100</f>
        <v>100</v>
      </c>
      <c r="G6" s="19">
        <f>100</f>
        <v>100</v>
      </c>
      <c r="H6" s="4"/>
      <c r="I6" s="4"/>
      <c r="J6" s="4"/>
    </row>
    <row r="7" spans="1:10" ht="17" x14ac:dyDescent="0.2">
      <c r="A7" s="17" t="s">
        <v>19</v>
      </c>
      <c r="B7" s="18">
        <f>19472.7</f>
        <v>19472.7</v>
      </c>
      <c r="C7" s="18">
        <f>21434.1</f>
        <v>21434.1</v>
      </c>
      <c r="D7" s="18">
        <f>23522.55</f>
        <v>23522.55</v>
      </c>
      <c r="E7" s="18">
        <f>23658.45</f>
        <v>23658.45</v>
      </c>
      <c r="F7" s="18">
        <f>21000</f>
        <v>21000</v>
      </c>
      <c r="G7" s="19">
        <f>21000</f>
        <v>21000</v>
      </c>
      <c r="H7" s="4" t="s">
        <v>20</v>
      </c>
      <c r="I7" s="4" t="s">
        <v>21</v>
      </c>
      <c r="J7" s="4" t="s">
        <v>13</v>
      </c>
    </row>
    <row r="8" spans="1:10" ht="17" x14ac:dyDescent="0.2">
      <c r="A8" s="22" t="s">
        <v>22</v>
      </c>
      <c r="B8" s="23">
        <f t="shared" ref="B8:G8" si="0">(((B4)+(B5))+(B6))+(B7)</f>
        <v>21537.15</v>
      </c>
      <c r="C8" s="23">
        <f t="shared" si="0"/>
        <v>22524.51</v>
      </c>
      <c r="D8" s="23">
        <f t="shared" si="0"/>
        <v>26216.71</v>
      </c>
      <c r="E8" s="23">
        <f t="shared" si="0"/>
        <v>25015.81</v>
      </c>
      <c r="F8" s="23">
        <f t="shared" si="0"/>
        <v>22600</v>
      </c>
      <c r="G8" s="24">
        <f t="shared" si="0"/>
        <v>22600</v>
      </c>
      <c r="H8" s="4"/>
      <c r="I8" s="4"/>
      <c r="J8" s="4"/>
    </row>
    <row r="9" spans="1:10" ht="17" x14ac:dyDescent="0.2">
      <c r="A9" s="17" t="s">
        <v>23</v>
      </c>
      <c r="B9" s="18">
        <f>170757.37</f>
        <v>170757.37</v>
      </c>
      <c r="C9" s="18">
        <f>162995.59</f>
        <v>162995.59</v>
      </c>
      <c r="D9" s="18">
        <f>181495.32</f>
        <v>181495.32</v>
      </c>
      <c r="E9" s="18">
        <f>107765.97</f>
        <v>107765.97</v>
      </c>
      <c r="F9" s="18">
        <f>150000</f>
        <v>150000</v>
      </c>
      <c r="G9" s="19">
        <v>180000</v>
      </c>
      <c r="H9" s="4" t="s">
        <v>24</v>
      </c>
      <c r="I9" s="4"/>
      <c r="J9" s="4"/>
    </row>
    <row r="10" spans="1:10" ht="17" x14ac:dyDescent="0.2">
      <c r="A10" s="17" t="s">
        <v>25</v>
      </c>
      <c r="B10" s="18">
        <f>17081.58</f>
        <v>17081.580000000002</v>
      </c>
      <c r="C10" s="18">
        <f>18179.58</f>
        <v>18179.580000000002</v>
      </c>
      <c r="D10" s="18">
        <f>17860.54</f>
        <v>17860.54</v>
      </c>
      <c r="E10" s="18">
        <f>5768.47</f>
        <v>5768.47</v>
      </c>
      <c r="F10" s="18">
        <f>18000</f>
        <v>18000</v>
      </c>
      <c r="G10" s="19">
        <f>18000</f>
        <v>18000</v>
      </c>
      <c r="H10" s="4"/>
      <c r="I10" s="4" t="s">
        <v>26</v>
      </c>
      <c r="J10" s="4"/>
    </row>
    <row r="11" spans="1:10" ht="17" x14ac:dyDescent="0.2">
      <c r="A11" s="17" t="s">
        <v>27</v>
      </c>
      <c r="B11" s="20"/>
      <c r="C11" s="20"/>
      <c r="D11" s="20"/>
      <c r="E11" s="20"/>
      <c r="F11" s="20"/>
      <c r="G11" s="21"/>
      <c r="H11" s="4"/>
      <c r="I11" s="4"/>
      <c r="J11" s="4"/>
    </row>
    <row r="12" spans="1:10" ht="18.75" customHeight="1" x14ac:dyDescent="0.2">
      <c r="A12" s="17" t="s">
        <v>28</v>
      </c>
      <c r="B12" s="20"/>
      <c r="C12" s="18">
        <f>716.19</f>
        <v>716.19</v>
      </c>
      <c r="D12" s="18">
        <f>151.56</f>
        <v>151.56</v>
      </c>
      <c r="E12" s="18">
        <f>2221.29</f>
        <v>2221.29</v>
      </c>
      <c r="F12" s="18">
        <f>200</f>
        <v>200</v>
      </c>
      <c r="G12" s="19">
        <v>1000</v>
      </c>
      <c r="H12" s="4" t="s">
        <v>29</v>
      </c>
      <c r="I12" s="4"/>
      <c r="J12" s="4"/>
    </row>
    <row r="13" spans="1:10" ht="17" x14ac:dyDescent="0.2">
      <c r="A13" s="17" t="s">
        <v>30</v>
      </c>
      <c r="B13" s="18">
        <f>9325</f>
        <v>9325</v>
      </c>
      <c r="C13" s="18">
        <f>1300</f>
        <v>1300</v>
      </c>
      <c r="D13" s="18">
        <f>375</f>
        <v>375</v>
      </c>
      <c r="E13" s="18">
        <f>4775</f>
        <v>4775</v>
      </c>
      <c r="F13" s="18">
        <f>1000</f>
        <v>1000</v>
      </c>
      <c r="G13" s="19">
        <f>1000</f>
        <v>1000</v>
      </c>
      <c r="H13" s="4"/>
      <c r="I13" s="4"/>
      <c r="J13" s="4"/>
    </row>
    <row r="14" spans="1:10" ht="17" x14ac:dyDescent="0.2">
      <c r="A14" s="17" t="s">
        <v>31</v>
      </c>
      <c r="B14" s="18">
        <f>14.1</f>
        <v>14.1</v>
      </c>
      <c r="C14" s="18">
        <f>14.1</f>
        <v>14.1</v>
      </c>
      <c r="D14" s="18">
        <f>14.1</f>
        <v>14.1</v>
      </c>
      <c r="G14" s="19">
        <v>14.1</v>
      </c>
      <c r="H14" s="4" t="s">
        <v>32</v>
      </c>
      <c r="I14" s="4"/>
      <c r="J14" s="4"/>
    </row>
    <row r="15" spans="1:10" ht="17" x14ac:dyDescent="0.2">
      <c r="A15" s="22" t="s">
        <v>33</v>
      </c>
      <c r="B15" s="23">
        <f>(((B11)+(B12))+(B13))+(B14)</f>
        <v>9339.1</v>
      </c>
      <c r="C15" s="23">
        <f>(((C11)+(C12))+(C13))+(C14)</f>
        <v>2030.29</v>
      </c>
      <c r="D15" s="23">
        <f>(((D11)+(D12))+(D13))+(D14)</f>
        <v>540.66</v>
      </c>
      <c r="E15" s="23">
        <f>((E11)+(E12))+(E13)+E14</f>
        <v>6996.29</v>
      </c>
      <c r="F15" s="23">
        <f>((F11)+(F12))+(F13)+F14</f>
        <v>1200</v>
      </c>
      <c r="G15" s="24">
        <f>((G11)+(G12))+(G13)+G14</f>
        <v>2014.1</v>
      </c>
      <c r="H15" s="4"/>
      <c r="I15" s="4"/>
      <c r="J15" s="4"/>
    </row>
    <row r="16" spans="1:10" ht="17" x14ac:dyDescent="0.2">
      <c r="A16" s="17" t="s">
        <v>34</v>
      </c>
      <c r="B16" s="20"/>
      <c r="C16" s="20"/>
      <c r="D16" s="20"/>
      <c r="E16" s="20"/>
      <c r="F16" s="20"/>
      <c r="G16" s="21"/>
      <c r="H16" s="4"/>
      <c r="I16" s="4"/>
      <c r="J16" s="4"/>
    </row>
    <row r="17" spans="1:10" ht="17" x14ac:dyDescent="0.2">
      <c r="A17" s="17" t="s">
        <v>35</v>
      </c>
      <c r="B17" s="18">
        <f>31899</f>
        <v>31899</v>
      </c>
      <c r="C17" s="18">
        <f>33589.5</f>
        <v>33589.5</v>
      </c>
      <c r="D17" s="18">
        <f>35280</f>
        <v>35280</v>
      </c>
      <c r="E17" s="18">
        <f>20580</f>
        <v>20580</v>
      </c>
      <c r="F17" s="18">
        <f>35280</f>
        <v>35280</v>
      </c>
      <c r="G17" s="19">
        <f>35280</f>
        <v>35280</v>
      </c>
      <c r="H17" s="4" t="s">
        <v>36</v>
      </c>
      <c r="I17" s="4" t="s">
        <v>37</v>
      </c>
      <c r="J17" s="4"/>
    </row>
    <row r="18" spans="1:10" ht="17" x14ac:dyDescent="0.2">
      <c r="A18" s="17" t="s">
        <v>38</v>
      </c>
      <c r="B18" s="18">
        <f>110</f>
        <v>110</v>
      </c>
      <c r="C18" s="18">
        <f>8525</f>
        <v>8525</v>
      </c>
      <c r="D18" s="18">
        <f>15060</f>
        <v>15060</v>
      </c>
      <c r="E18" s="18">
        <f>12680.9</f>
        <v>12680.9</v>
      </c>
      <c r="F18" s="18">
        <f>8000</f>
        <v>8000</v>
      </c>
      <c r="G18" s="19">
        <v>12000</v>
      </c>
      <c r="H18" s="4" t="s">
        <v>39</v>
      </c>
      <c r="I18" s="4"/>
      <c r="J18" s="4"/>
    </row>
    <row r="19" spans="1:10" ht="17" x14ac:dyDescent="0.2">
      <c r="A19" s="17" t="s">
        <v>40</v>
      </c>
      <c r="B19" s="18">
        <f>3600</f>
        <v>3600</v>
      </c>
      <c r="C19" s="18">
        <f>3600</f>
        <v>3600</v>
      </c>
      <c r="D19" s="18">
        <f>3600</f>
        <v>3600</v>
      </c>
      <c r="E19" s="18">
        <f>2700</f>
        <v>2700</v>
      </c>
      <c r="F19" s="18">
        <f>3600</f>
        <v>3600</v>
      </c>
      <c r="G19" s="19">
        <f>3600</f>
        <v>3600</v>
      </c>
      <c r="H19" s="4"/>
      <c r="I19" s="4"/>
      <c r="J19" s="4"/>
    </row>
    <row r="20" spans="1:10" ht="17" x14ac:dyDescent="0.2">
      <c r="A20" s="22" t="s">
        <v>41</v>
      </c>
      <c r="B20" s="23">
        <f t="shared" ref="B20:G20" si="1">(((B16)+(B17))+(B18))+(B19)</f>
        <v>35609</v>
      </c>
      <c r="C20" s="23">
        <f t="shared" si="1"/>
        <v>45714.5</v>
      </c>
      <c r="D20" s="23">
        <f t="shared" si="1"/>
        <v>53940</v>
      </c>
      <c r="E20" s="23">
        <f t="shared" si="1"/>
        <v>35960.9</v>
      </c>
      <c r="F20" s="23">
        <f t="shared" si="1"/>
        <v>46880</v>
      </c>
      <c r="G20" s="24">
        <f t="shared" si="1"/>
        <v>50880</v>
      </c>
      <c r="H20" s="4"/>
      <c r="I20" s="4"/>
      <c r="J20" s="4"/>
    </row>
    <row r="21" spans="1:10" ht="17" x14ac:dyDescent="0.2">
      <c r="A21" s="17" t="s">
        <v>42</v>
      </c>
      <c r="B21" s="18">
        <f>712.36</f>
        <v>712.36</v>
      </c>
      <c r="C21" s="18">
        <f>697.81</f>
        <v>697.81</v>
      </c>
      <c r="D21" s="18">
        <f>15768.49</f>
        <v>15768.49</v>
      </c>
      <c r="E21" s="18">
        <f>30311.1</f>
        <v>30311.1</v>
      </c>
      <c r="F21" s="18">
        <f>1250</f>
        <v>1250</v>
      </c>
      <c r="G21" s="19">
        <v>35000</v>
      </c>
      <c r="H21" s="4" t="s">
        <v>43</v>
      </c>
      <c r="I21" s="4" t="s">
        <v>44</v>
      </c>
      <c r="J21" s="4" t="s">
        <v>45</v>
      </c>
    </row>
    <row r="22" spans="1:10" ht="17" x14ac:dyDescent="0.2">
      <c r="A22" s="17" t="s">
        <v>46</v>
      </c>
      <c r="B22" s="18">
        <f>20762</f>
        <v>20762</v>
      </c>
      <c r="C22" s="18">
        <f>43100.25</f>
        <v>43100.25</v>
      </c>
      <c r="D22" s="18">
        <f>38992</f>
        <v>38992</v>
      </c>
      <c r="E22" s="18">
        <f>42004</f>
        <v>42004</v>
      </c>
      <c r="F22" s="18">
        <f>42004</f>
        <v>42004</v>
      </c>
      <c r="G22" s="19">
        <v>42000</v>
      </c>
      <c r="H22" s="4"/>
      <c r="I22" s="4" t="s">
        <v>47</v>
      </c>
      <c r="J22" s="4"/>
    </row>
    <row r="23" spans="1:10" ht="17" x14ac:dyDescent="0.2">
      <c r="A23" s="17" t="s">
        <v>48</v>
      </c>
      <c r="B23" s="18">
        <f>3231.31</f>
        <v>3231.31</v>
      </c>
      <c r="C23" s="18">
        <f>3246.11</f>
        <v>3246.11</v>
      </c>
      <c r="D23" s="18">
        <f>3278.81</f>
        <v>3278.81</v>
      </c>
      <c r="E23" s="18">
        <f>815.05</f>
        <v>815.05</v>
      </c>
      <c r="F23" s="18">
        <f>3000</f>
        <v>3000</v>
      </c>
      <c r="G23" s="19">
        <f>3000</f>
        <v>3000</v>
      </c>
      <c r="H23" s="4"/>
      <c r="I23" s="4" t="s">
        <v>49</v>
      </c>
      <c r="J23" s="4"/>
    </row>
    <row r="24" spans="1:10" ht="17" x14ac:dyDescent="0.2">
      <c r="A24" s="17" t="s">
        <v>50</v>
      </c>
      <c r="B24" s="20"/>
      <c r="C24" s="20"/>
      <c r="D24" s="20"/>
      <c r="E24" s="20"/>
      <c r="F24" s="20"/>
      <c r="G24" s="21"/>
      <c r="H24" s="4"/>
      <c r="I24" s="4"/>
      <c r="J24" s="4"/>
    </row>
    <row r="25" spans="1:10" ht="17" x14ac:dyDescent="0.2">
      <c r="A25" s="17" t="s">
        <v>51</v>
      </c>
      <c r="B25" s="18">
        <f>4734.5</f>
        <v>4734.5</v>
      </c>
      <c r="C25" s="18">
        <f>4112.5</f>
        <v>4112.5</v>
      </c>
      <c r="D25" s="18">
        <f>3837</f>
        <v>3837</v>
      </c>
      <c r="E25" s="18">
        <f>4209</f>
        <v>4209</v>
      </c>
      <c r="F25" s="18">
        <f>4000</f>
        <v>4000</v>
      </c>
      <c r="G25" s="19">
        <f>4000</f>
        <v>4000</v>
      </c>
      <c r="H25" s="4" t="s">
        <v>52</v>
      </c>
      <c r="I25" s="4" t="s">
        <v>53</v>
      </c>
      <c r="J25" s="4"/>
    </row>
    <row r="26" spans="1:10" ht="17" x14ac:dyDescent="0.2">
      <c r="A26" s="17" t="s">
        <v>54</v>
      </c>
      <c r="B26" s="18">
        <f>48</f>
        <v>48</v>
      </c>
      <c r="C26" s="18">
        <f>12</f>
        <v>12</v>
      </c>
      <c r="D26" s="20"/>
      <c r="E26" s="20"/>
      <c r="F26" s="18">
        <f>20</f>
        <v>20</v>
      </c>
      <c r="G26" s="19">
        <f>20</f>
        <v>20</v>
      </c>
      <c r="H26" s="4" t="s">
        <v>55</v>
      </c>
      <c r="I26" s="4" t="s">
        <v>56</v>
      </c>
      <c r="J26" s="4"/>
    </row>
    <row r="27" spans="1:10" ht="17" x14ac:dyDescent="0.2">
      <c r="A27" s="22" t="s">
        <v>57</v>
      </c>
      <c r="B27" s="23">
        <f t="shared" ref="B27:G27" si="2">((B24)+(B25))+(B26)</f>
        <v>4782.5</v>
      </c>
      <c r="C27" s="23">
        <f t="shared" si="2"/>
        <v>4124.5</v>
      </c>
      <c r="D27" s="23">
        <f t="shared" si="2"/>
        <v>3837</v>
      </c>
      <c r="E27" s="23">
        <f t="shared" si="2"/>
        <v>4209</v>
      </c>
      <c r="F27" s="23">
        <f t="shared" si="2"/>
        <v>4020</v>
      </c>
      <c r="G27" s="24">
        <f t="shared" si="2"/>
        <v>4020</v>
      </c>
      <c r="H27" s="4"/>
      <c r="I27" s="4"/>
      <c r="J27" s="4"/>
    </row>
    <row r="28" spans="1:10" ht="17" x14ac:dyDescent="0.2">
      <c r="A28" s="17" t="s">
        <v>58</v>
      </c>
      <c r="B28" s="20"/>
      <c r="C28" s="20"/>
      <c r="D28" s="18">
        <f>17717.85</f>
        <v>17717.849999999999</v>
      </c>
      <c r="E28" s="20"/>
      <c r="F28" s="20"/>
      <c r="G28" s="21"/>
      <c r="H28" s="4"/>
      <c r="I28" s="4"/>
      <c r="J28" s="4"/>
    </row>
    <row r="29" spans="1:10" ht="17" x14ac:dyDescent="0.2">
      <c r="A29" s="17" t="s">
        <v>59</v>
      </c>
      <c r="B29" s="18">
        <f>25</f>
        <v>25</v>
      </c>
      <c r="C29" s="18">
        <f>12</f>
        <v>12</v>
      </c>
      <c r="D29" s="18">
        <f>69</f>
        <v>69</v>
      </c>
      <c r="E29" s="20"/>
      <c r="F29" s="18">
        <f>20</f>
        <v>20</v>
      </c>
      <c r="G29" s="19">
        <f>20</f>
        <v>20</v>
      </c>
      <c r="H29" s="4"/>
      <c r="I29" s="4"/>
      <c r="J29" s="4"/>
    </row>
    <row r="30" spans="1:10" ht="17" x14ac:dyDescent="0.2">
      <c r="A30" s="17" t="s">
        <v>60</v>
      </c>
      <c r="B30" s="18">
        <f>50</f>
        <v>50</v>
      </c>
      <c r="C30" s="18">
        <f>25</f>
        <v>25</v>
      </c>
      <c r="D30" s="18">
        <f>60</f>
        <v>60</v>
      </c>
      <c r="G30" s="26"/>
      <c r="H30" s="4"/>
      <c r="I30" s="4"/>
      <c r="J30" s="4"/>
    </row>
    <row r="31" spans="1:10" ht="17" hidden="1" outlineLevel="1" x14ac:dyDescent="0.2">
      <c r="A31" s="17" t="s">
        <v>61</v>
      </c>
      <c r="B31" s="18">
        <f>600</f>
        <v>600</v>
      </c>
      <c r="C31" s="20"/>
      <c r="D31" s="20"/>
      <c r="G31" s="26"/>
      <c r="H31" s="4" t="s">
        <v>62</v>
      </c>
      <c r="I31" s="4"/>
      <c r="J31" s="4"/>
    </row>
    <row r="32" spans="1:10" ht="17" collapsed="1" x14ac:dyDescent="0.2">
      <c r="A32" s="22" t="s">
        <v>63</v>
      </c>
      <c r="B32" s="23">
        <f t="shared" ref="B32:G32" si="3">(((B28)+(B29))+(B30))+(B31)</f>
        <v>675</v>
      </c>
      <c r="C32" s="23">
        <f t="shared" si="3"/>
        <v>37</v>
      </c>
      <c r="D32" s="23">
        <f t="shared" si="3"/>
        <v>17846.849999999999</v>
      </c>
      <c r="E32" s="23">
        <f t="shared" si="3"/>
        <v>0</v>
      </c>
      <c r="F32" s="23">
        <f t="shared" si="3"/>
        <v>20</v>
      </c>
      <c r="G32" s="24">
        <f t="shared" si="3"/>
        <v>20</v>
      </c>
      <c r="H32" s="4"/>
      <c r="I32" s="4"/>
      <c r="J32" s="4"/>
    </row>
    <row r="33" spans="1:10" ht="17" x14ac:dyDescent="0.2">
      <c r="A33" s="17" t="s">
        <v>64</v>
      </c>
      <c r="B33" s="20"/>
      <c r="C33" s="20"/>
      <c r="D33" s="20"/>
      <c r="E33" s="20"/>
      <c r="F33" s="20"/>
      <c r="G33" s="21"/>
      <c r="H33" s="4"/>
      <c r="I33" s="4"/>
      <c r="J33" s="4"/>
    </row>
    <row r="34" spans="1:10" ht="17" x14ac:dyDescent="0.2">
      <c r="A34" s="17" t="s">
        <v>65</v>
      </c>
      <c r="B34" s="20"/>
      <c r="C34" s="20"/>
      <c r="D34" s="18">
        <f>68356.76</f>
        <v>68356.759999999995</v>
      </c>
      <c r="E34" s="20"/>
      <c r="F34" s="18">
        <f>204106</f>
        <v>204106</v>
      </c>
      <c r="G34" s="19">
        <v>204106</v>
      </c>
      <c r="H34" s="63" t="s">
        <v>66</v>
      </c>
      <c r="I34" s="4" t="s">
        <v>67</v>
      </c>
      <c r="J34" s="4"/>
    </row>
    <row r="35" spans="1:10" ht="18" customHeight="1" x14ac:dyDescent="0.2">
      <c r="A35" s="17" t="s">
        <v>68</v>
      </c>
      <c r="B35" s="20"/>
      <c r="C35" s="18">
        <f>14476</f>
        <v>14476</v>
      </c>
      <c r="D35" s="18">
        <f>28263</f>
        <v>28263</v>
      </c>
      <c r="E35" s="18"/>
      <c r="F35" s="20"/>
      <c r="G35" s="21">
        <v>4912</v>
      </c>
      <c r="H35" s="8"/>
      <c r="I35" s="4" t="s">
        <v>69</v>
      </c>
      <c r="J35" s="4"/>
    </row>
    <row r="36" spans="1:10" ht="18" customHeight="1" x14ac:dyDescent="0.2">
      <c r="A36" s="53" t="s">
        <v>255</v>
      </c>
      <c r="B36" s="20"/>
      <c r="C36" s="18"/>
      <c r="D36" s="18"/>
      <c r="E36" s="18"/>
      <c r="F36" s="20"/>
      <c r="G36" s="21">
        <v>150000</v>
      </c>
      <c r="H36" s="8" t="s">
        <v>256</v>
      </c>
      <c r="I36" s="4"/>
      <c r="J36" s="4"/>
    </row>
    <row r="37" spans="1:10" ht="17" x14ac:dyDescent="0.2">
      <c r="A37" s="27" t="s">
        <v>70</v>
      </c>
      <c r="B37" s="28">
        <f t="shared" ref="B37" si="4">((B33)+(B34))+(B35)</f>
        <v>0</v>
      </c>
      <c r="C37" s="28">
        <f>((C33)+(C34))+(C35)+C36</f>
        <v>14476</v>
      </c>
      <c r="D37" s="28">
        <f t="shared" ref="D37:G37" si="5">((D33)+(D34))+(D35)+D36</f>
        <v>96619.76</v>
      </c>
      <c r="E37" s="28">
        <f t="shared" si="5"/>
        <v>0</v>
      </c>
      <c r="F37" s="28">
        <f t="shared" si="5"/>
        <v>204106</v>
      </c>
      <c r="G37" s="29">
        <f t="shared" si="5"/>
        <v>359018</v>
      </c>
      <c r="H37" s="8"/>
      <c r="I37" s="4"/>
      <c r="J37" s="4"/>
    </row>
    <row r="38" spans="1:10" ht="18" thickBot="1" x14ac:dyDescent="0.25">
      <c r="A38" s="30" t="s">
        <v>71</v>
      </c>
      <c r="B38" s="31">
        <f t="shared" ref="B38:G38" si="6">(((((((((((B3)+(B8))+(B9))+(B10))+(B15))+(B20))+(B21))+(B22))+(B23))+(B27))+(B32))+(B37)</f>
        <v>421386.35</v>
      </c>
      <c r="C38" s="31">
        <f t="shared" si="6"/>
        <v>458155.21</v>
      </c>
      <c r="D38" s="31">
        <f t="shared" si="6"/>
        <v>602886.22999999986</v>
      </c>
      <c r="E38" s="31">
        <f t="shared" si="6"/>
        <v>412443.60999999993</v>
      </c>
      <c r="F38" s="31">
        <f t="shared" si="6"/>
        <v>633080</v>
      </c>
      <c r="G38" s="32">
        <f t="shared" si="6"/>
        <v>876552.1</v>
      </c>
      <c r="H38" s="33"/>
      <c r="I38" s="33"/>
      <c r="J38" s="34"/>
    </row>
    <row r="39" spans="1:10" ht="17" thickTop="1" x14ac:dyDescent="0.2">
      <c r="A39" s="17"/>
      <c r="B39" s="35"/>
      <c r="C39" s="35"/>
      <c r="D39" s="35"/>
      <c r="E39" s="35"/>
      <c r="F39" s="35"/>
      <c r="G39" s="36"/>
      <c r="H39" s="8"/>
      <c r="I39" s="4"/>
      <c r="J39" s="4"/>
    </row>
    <row r="40" spans="1:10" ht="22" thickBot="1" x14ac:dyDescent="0.3">
      <c r="A40" s="58" t="s">
        <v>72</v>
      </c>
      <c r="B40" s="13"/>
      <c r="C40" s="13"/>
      <c r="D40" s="13"/>
      <c r="E40" s="13"/>
      <c r="F40" s="13"/>
      <c r="G40" s="37"/>
      <c r="H40" s="38"/>
      <c r="I40" s="38"/>
      <c r="J40" s="38"/>
    </row>
    <row r="41" spans="1:10" ht="17" x14ac:dyDescent="0.2">
      <c r="A41" s="17" t="s">
        <v>73</v>
      </c>
      <c r="B41" s="20"/>
      <c r="C41" s="20"/>
      <c r="D41" s="20"/>
      <c r="E41" s="20"/>
      <c r="F41" s="20"/>
      <c r="G41" s="21"/>
      <c r="H41" s="4"/>
      <c r="I41" s="4"/>
      <c r="J41" s="4"/>
    </row>
    <row r="42" spans="1:10" ht="17" x14ac:dyDescent="0.2">
      <c r="A42" s="17" t="s">
        <v>74</v>
      </c>
      <c r="B42" s="18">
        <f>59999.94</f>
        <v>59999.94</v>
      </c>
      <c r="C42" s="18">
        <f>66480.46</f>
        <v>66480.460000000006</v>
      </c>
      <c r="D42" s="18">
        <f>73001.5</f>
        <v>73001.5</v>
      </c>
      <c r="E42" s="18">
        <f>48884.64</f>
        <v>48884.639999999999</v>
      </c>
      <c r="F42" s="18">
        <f>74503</f>
        <v>74503</v>
      </c>
      <c r="G42" s="19">
        <v>76500</v>
      </c>
      <c r="H42" s="4" t="s">
        <v>75</v>
      </c>
      <c r="I42" s="4" t="s">
        <v>76</v>
      </c>
      <c r="J42" s="4"/>
    </row>
    <row r="43" spans="1:10" ht="17" x14ac:dyDescent="0.2">
      <c r="A43" s="17" t="s">
        <v>77</v>
      </c>
      <c r="B43" s="18">
        <f>4615.53</f>
        <v>4615.53</v>
      </c>
      <c r="C43" s="18">
        <f>5215.74</f>
        <v>5215.74</v>
      </c>
      <c r="D43" s="18">
        <f>5711.52</f>
        <v>5711.52</v>
      </c>
      <c r="E43" s="18">
        <f>3980.52</f>
        <v>3980.52</v>
      </c>
      <c r="F43" s="18">
        <f>5470</f>
        <v>5470</v>
      </c>
      <c r="G43" s="19">
        <v>6000</v>
      </c>
      <c r="H43" s="4" t="s">
        <v>75</v>
      </c>
      <c r="I43" s="4" t="s">
        <v>78</v>
      </c>
      <c r="J43" s="4"/>
    </row>
    <row r="44" spans="1:10" ht="17" x14ac:dyDescent="0.2">
      <c r="A44" s="17" t="s">
        <v>79</v>
      </c>
      <c r="B44" s="18">
        <f>950</f>
        <v>950</v>
      </c>
      <c r="C44" s="18">
        <f>1000</f>
        <v>1000</v>
      </c>
      <c r="D44" s="18">
        <f>1120</f>
        <v>1120</v>
      </c>
      <c r="E44" s="20"/>
      <c r="F44" s="18">
        <f>1000</f>
        <v>1000</v>
      </c>
      <c r="G44" s="19">
        <f>1000</f>
        <v>1000</v>
      </c>
      <c r="H44" s="4" t="s">
        <v>80</v>
      </c>
      <c r="I44" s="4"/>
      <c r="J44" s="4"/>
    </row>
    <row r="45" spans="1:10" ht="17" x14ac:dyDescent="0.2">
      <c r="A45" s="17" t="s">
        <v>81</v>
      </c>
      <c r="B45" s="20"/>
      <c r="C45" s="18">
        <f>2609.95</f>
        <v>2609.9499999999998</v>
      </c>
      <c r="D45" s="18">
        <f>5752.96</f>
        <v>5752.96</v>
      </c>
      <c r="E45" s="18">
        <f>3694.28</f>
        <v>3694.28</v>
      </c>
      <c r="F45" s="18">
        <f>6702</f>
        <v>6702</v>
      </c>
      <c r="G45" s="19"/>
      <c r="H45" s="4" t="s">
        <v>75</v>
      </c>
      <c r="I45" s="4" t="s">
        <v>82</v>
      </c>
      <c r="J45" s="4"/>
    </row>
    <row r="46" spans="1:10" ht="17" x14ac:dyDescent="0.2">
      <c r="A46" s="39" t="s">
        <v>83</v>
      </c>
      <c r="B46" s="40">
        <f>((((B41)+(B42))+(B43))+(B44))+(B45)</f>
        <v>65565.47</v>
      </c>
      <c r="C46" s="40">
        <f>((((C41)+(C42))+(C43))+(C44))+(C45)</f>
        <v>75306.150000000009</v>
      </c>
      <c r="D46" s="40">
        <f>((((D41)+(D42))+(D43))+(D44))+(D45)</f>
        <v>85585.98000000001</v>
      </c>
      <c r="E46" s="40">
        <f>((((E41)+(E42))+(E43))+(E44))+(E45)</f>
        <v>56559.439999999995</v>
      </c>
      <c r="F46" s="40">
        <f>((((('Profit and Loss'!J86)+(F42))+(F43))+(F44))+(F45))</f>
        <v>87675</v>
      </c>
      <c r="G46" s="41">
        <f>(((((G42))+(G43))+(G44))+(G45))</f>
        <v>83500</v>
      </c>
      <c r="H46" s="77"/>
      <c r="I46" s="4"/>
      <c r="J46" s="4"/>
    </row>
    <row r="47" spans="1:10" ht="17" x14ac:dyDescent="0.2">
      <c r="A47" s="17" t="s">
        <v>84</v>
      </c>
      <c r="B47" s="20"/>
      <c r="C47" s="20"/>
      <c r="D47" s="20"/>
      <c r="E47" s="20"/>
      <c r="F47" s="20"/>
      <c r="G47" s="21"/>
      <c r="H47" s="4"/>
      <c r="I47" s="4"/>
      <c r="J47" s="4"/>
    </row>
    <row r="48" spans="1:10" ht="17" x14ac:dyDescent="0.2">
      <c r="A48" s="17" t="s">
        <v>85</v>
      </c>
      <c r="B48" s="18">
        <f>7250</f>
        <v>7250</v>
      </c>
      <c r="C48" s="18">
        <f>7500</f>
        <v>7500</v>
      </c>
      <c r="D48" s="18">
        <f>7500</f>
        <v>7500</v>
      </c>
      <c r="E48" s="18">
        <f>8000</f>
        <v>8000</v>
      </c>
      <c r="F48" s="18">
        <f>7750</f>
        <v>7750</v>
      </c>
      <c r="G48" s="19">
        <v>12000</v>
      </c>
      <c r="H48" s="4" t="s">
        <v>86</v>
      </c>
      <c r="I48" s="4" t="s">
        <v>87</v>
      </c>
      <c r="J48" s="4"/>
    </row>
    <row r="49" spans="1:10" ht="17" x14ac:dyDescent="0.2">
      <c r="A49" s="17" t="s">
        <v>88</v>
      </c>
      <c r="B49" s="18">
        <f>149</f>
        <v>149</v>
      </c>
      <c r="C49" s="20"/>
      <c r="D49" s="20"/>
      <c r="E49" s="18">
        <f>726</f>
        <v>726</v>
      </c>
      <c r="F49" s="20"/>
      <c r="G49" s="21"/>
      <c r="H49" s="4"/>
      <c r="I49" s="4"/>
      <c r="J49" s="4"/>
    </row>
    <row r="50" spans="1:10" ht="17" x14ac:dyDescent="0.2">
      <c r="A50" s="17" t="s">
        <v>89</v>
      </c>
      <c r="B50" s="18">
        <f>13038</f>
        <v>13038</v>
      </c>
      <c r="C50" s="18">
        <f>7766</f>
        <v>7766</v>
      </c>
      <c r="D50" s="18">
        <f>5952</f>
        <v>5952</v>
      </c>
      <c r="E50" s="18">
        <f>5509</f>
        <v>5509</v>
      </c>
      <c r="F50" s="18">
        <f>5000</f>
        <v>5000</v>
      </c>
      <c r="G50" s="19">
        <f>5000</f>
        <v>5000</v>
      </c>
      <c r="H50" s="4"/>
      <c r="I50" s="4" t="s">
        <v>90</v>
      </c>
      <c r="J50" s="4"/>
    </row>
    <row r="51" spans="1:10" ht="17" x14ac:dyDescent="0.2">
      <c r="A51" s="17" t="s">
        <v>91</v>
      </c>
      <c r="B51" s="18"/>
      <c r="C51" s="18"/>
      <c r="D51" s="18"/>
      <c r="E51" s="20"/>
      <c r="F51" s="18">
        <f>5000</f>
        <v>5000</v>
      </c>
      <c r="G51" s="19">
        <f>5000</f>
        <v>5000</v>
      </c>
      <c r="H51" s="4" t="s">
        <v>92</v>
      </c>
      <c r="I51" s="4" t="s">
        <v>92</v>
      </c>
      <c r="J51" s="4"/>
    </row>
    <row r="52" spans="1:10" ht="17" x14ac:dyDescent="0.2">
      <c r="A52" s="17" t="s">
        <v>93</v>
      </c>
      <c r="B52" s="42">
        <f>(B49)+(B50)</f>
        <v>13187</v>
      </c>
      <c r="C52" s="42">
        <f>(C49)+(C50)</f>
        <v>7766</v>
      </c>
      <c r="D52" s="42">
        <f>(D49)+(D50)</f>
        <v>5952</v>
      </c>
      <c r="E52" s="42">
        <f>(('Profit and Loss'!E49)+(E50))+(E51)</f>
        <v>6235</v>
      </c>
      <c r="F52" s="42">
        <f>(('Profit and Loss'!F49)+(F50))+(F51)</f>
        <v>10000</v>
      </c>
      <c r="G52" s="43">
        <f>(('Profit and Loss'!G49)+(G50))+(G51)</f>
        <v>10000</v>
      </c>
      <c r="H52" s="4"/>
      <c r="I52" s="4"/>
      <c r="J52" s="4"/>
    </row>
    <row r="53" spans="1:10" ht="17" x14ac:dyDescent="0.2">
      <c r="A53" s="17" t="s">
        <v>94</v>
      </c>
      <c r="B53" s="18">
        <f>341.75</f>
        <v>341.75</v>
      </c>
      <c r="C53" s="18">
        <f>377.82</f>
        <v>377.82</v>
      </c>
      <c r="D53" s="18">
        <f>2963.06</f>
        <v>2963.06</v>
      </c>
      <c r="E53" s="20"/>
      <c r="F53" s="18">
        <f>500</f>
        <v>500</v>
      </c>
      <c r="G53" s="19">
        <v>0</v>
      </c>
      <c r="H53" s="4" t="s">
        <v>95</v>
      </c>
      <c r="I53" s="4" t="s">
        <v>96</v>
      </c>
      <c r="J53" s="4"/>
    </row>
    <row r="54" spans="1:10" ht="17" x14ac:dyDescent="0.2">
      <c r="A54" s="17" t="s">
        <v>97</v>
      </c>
      <c r="B54" s="18">
        <f>1632</f>
        <v>1632</v>
      </c>
      <c r="C54" s="18">
        <f>320</f>
        <v>320</v>
      </c>
      <c r="D54" s="20"/>
      <c r="E54" s="18">
        <f>2528</f>
        <v>2528</v>
      </c>
      <c r="F54" s="18">
        <f>500</f>
        <v>500</v>
      </c>
      <c r="G54" s="19"/>
      <c r="H54" s="4" t="s">
        <v>258</v>
      </c>
      <c r="I54" s="4"/>
      <c r="J54" s="4"/>
    </row>
    <row r="55" spans="1:10" ht="17" x14ac:dyDescent="0.2">
      <c r="A55" s="17" t="s">
        <v>98</v>
      </c>
      <c r="B55" s="18">
        <f>3690</f>
        <v>3690</v>
      </c>
      <c r="C55" s="18">
        <f>1345</f>
        <v>1345</v>
      </c>
      <c r="D55" s="18">
        <f>2990</f>
        <v>2990</v>
      </c>
      <c r="E55" s="20"/>
      <c r="F55" s="18">
        <f>3000</f>
        <v>3000</v>
      </c>
      <c r="G55" s="19">
        <f>3000</f>
        <v>3000</v>
      </c>
      <c r="H55" s="4"/>
      <c r="I55" s="4" t="s">
        <v>99</v>
      </c>
      <c r="J55" s="4"/>
    </row>
    <row r="56" spans="1:10" ht="17" x14ac:dyDescent="0.2">
      <c r="A56" s="17" t="s">
        <v>100</v>
      </c>
      <c r="B56" s="18">
        <f>1070</f>
        <v>1070</v>
      </c>
      <c r="C56" s="18">
        <f>260</f>
        <v>260</v>
      </c>
      <c r="D56" s="18"/>
      <c r="E56" s="18"/>
      <c r="F56" s="18">
        <v>500</v>
      </c>
      <c r="G56" s="19">
        <v>500</v>
      </c>
      <c r="H56" s="4" t="s">
        <v>101</v>
      </c>
      <c r="I56" s="4" t="s">
        <v>102</v>
      </c>
      <c r="J56" s="4"/>
    </row>
    <row r="57" spans="1:10" ht="17" x14ac:dyDescent="0.2">
      <c r="A57" s="17" t="s">
        <v>103</v>
      </c>
      <c r="B57" s="18"/>
      <c r="C57" s="18"/>
      <c r="D57" s="18">
        <v>1245</v>
      </c>
      <c r="E57" s="20">
        <v>952.35</v>
      </c>
      <c r="F57" s="18">
        <v>1000</v>
      </c>
      <c r="G57" s="19">
        <v>1000</v>
      </c>
      <c r="H57" s="4"/>
      <c r="I57" s="4"/>
      <c r="J57" s="4"/>
    </row>
    <row r="58" spans="1:10" ht="17" x14ac:dyDescent="0.2">
      <c r="A58" s="17" t="s">
        <v>104</v>
      </c>
      <c r="B58" s="18">
        <f>9577.5</f>
        <v>9577.5</v>
      </c>
      <c r="C58" s="18">
        <f>8035</f>
        <v>8035</v>
      </c>
      <c r="D58" s="18">
        <f>5885</f>
        <v>5885</v>
      </c>
      <c r="E58" s="18">
        <f>3135</f>
        <v>3135</v>
      </c>
      <c r="F58" s="18">
        <f>8000</f>
        <v>8000</v>
      </c>
      <c r="G58" s="19">
        <v>6000</v>
      </c>
      <c r="H58" s="4" t="s">
        <v>105</v>
      </c>
      <c r="I58" s="4" t="s">
        <v>106</v>
      </c>
      <c r="J58" s="4"/>
    </row>
    <row r="59" spans="1:10" ht="17" x14ac:dyDescent="0.2">
      <c r="A59" s="17" t="s">
        <v>107</v>
      </c>
      <c r="B59" s="20"/>
      <c r="C59" s="18"/>
      <c r="D59" s="18"/>
      <c r="E59" s="18">
        <f>3400</f>
        <v>3400</v>
      </c>
      <c r="F59" s="20">
        <v>5950</v>
      </c>
      <c r="G59" s="21">
        <v>5950</v>
      </c>
      <c r="H59" s="4" t="s">
        <v>108</v>
      </c>
      <c r="I59" s="4" t="s">
        <v>109</v>
      </c>
      <c r="J59" s="4"/>
    </row>
    <row r="60" spans="1:10" ht="17" x14ac:dyDescent="0.2">
      <c r="A60" s="39" t="s">
        <v>110</v>
      </c>
      <c r="B60" s="40">
        <f>(((((((B47)+(B48))+(B52))+(B53))+(B54))+(B55))+(B56))+(B58)</f>
        <v>36748.25</v>
      </c>
      <c r="C60" s="40">
        <f>(((((((('Profit and Loss'!C47)+('Profit and Loss'!C48))+('Profit and Loss'!C52))+(C53))+(C54))+(C55))+(C56))+(C57))+(C58)+C59</f>
        <v>25603.82</v>
      </c>
      <c r="D60" s="40">
        <f>(((((((('Profit and Loss'!D47)+('Profit and Loss'!D48))+('Profit and Loss'!D52))+(D53))+(D54))+(D55))+(D56))+(D57))+(D58)+D59</f>
        <v>26535.06</v>
      </c>
      <c r="E60" s="40">
        <f>(((((((('Profit and Loss'!E47)+('Profit and Loss'!E48))+('Profit and Loss'!E52))+(E53))+(E54))+(E55))+(E56))+(E57))+(E58)+E59</f>
        <v>24250.35</v>
      </c>
      <c r="F60" s="40">
        <f>(((((((('Profit and Loss'!F47)+('Profit and Loss'!F48))+('Profit and Loss'!F52))+(F53))+(F54))+(F55))+(F56))+(F57))+(F58)+F59</f>
        <v>37200</v>
      </c>
      <c r="G60" s="41">
        <f>(((((((('Profit and Loss'!G47)+('Profit and Loss'!G48))+('Profit and Loss'!G52))+(G53))+(G54))+(G55))+(G56))+(G57))+(G58)+G59</f>
        <v>38450</v>
      </c>
      <c r="H60" s="4"/>
      <c r="I60" s="4"/>
      <c r="J60" s="4"/>
    </row>
    <row r="61" spans="1:10" ht="17" x14ac:dyDescent="0.2">
      <c r="A61" s="17" t="s">
        <v>111</v>
      </c>
      <c r="B61" s="20"/>
      <c r="C61" s="20"/>
      <c r="D61" s="20"/>
      <c r="E61" s="20"/>
      <c r="F61" s="20"/>
      <c r="G61" s="21"/>
      <c r="H61" s="4"/>
      <c r="I61" s="4"/>
      <c r="J61" s="4"/>
    </row>
    <row r="62" spans="1:10" ht="17" x14ac:dyDescent="0.2">
      <c r="A62" s="17" t="s">
        <v>112</v>
      </c>
      <c r="B62" s="20"/>
      <c r="C62" s="20"/>
      <c r="D62" s="20"/>
      <c r="E62" s="20"/>
      <c r="F62" s="20"/>
      <c r="G62" s="21"/>
      <c r="H62" s="4"/>
      <c r="I62" s="4"/>
      <c r="J62" s="4"/>
    </row>
    <row r="63" spans="1:10" ht="17" x14ac:dyDescent="0.2">
      <c r="A63" s="17" t="s">
        <v>113</v>
      </c>
      <c r="B63" s="18">
        <f>1477.65</f>
        <v>1477.65</v>
      </c>
      <c r="C63" s="18">
        <f>1289.56</f>
        <v>1289.56</v>
      </c>
      <c r="D63" s="18">
        <f>1349.11</f>
        <v>1349.11</v>
      </c>
      <c r="E63" s="18">
        <f>3864.14</f>
        <v>3864.14</v>
      </c>
      <c r="F63" s="18">
        <f>1500</f>
        <v>1500</v>
      </c>
      <c r="G63" s="19">
        <f>1500</f>
        <v>1500</v>
      </c>
      <c r="H63" s="4"/>
      <c r="I63" s="4"/>
      <c r="J63" s="4"/>
    </row>
    <row r="64" spans="1:10" ht="17" x14ac:dyDescent="0.2">
      <c r="A64" s="17" t="s">
        <v>114</v>
      </c>
      <c r="B64" s="18">
        <f>1186.35</f>
        <v>1186.3499999999999</v>
      </c>
      <c r="C64" s="18">
        <f>1387.54</f>
        <v>1387.54</v>
      </c>
      <c r="D64" s="18">
        <f>1655.8</f>
        <v>1655.8</v>
      </c>
      <c r="E64" s="18">
        <f>517.42</f>
        <v>517.41999999999996</v>
      </c>
      <c r="F64" s="18">
        <f>1000</f>
        <v>1000</v>
      </c>
      <c r="G64" s="19">
        <f>1000</f>
        <v>1000</v>
      </c>
      <c r="H64" s="4" t="s">
        <v>115</v>
      </c>
      <c r="I64" s="4"/>
      <c r="J64" s="4"/>
    </row>
    <row r="65" spans="1:10" ht="17" x14ac:dyDescent="0.2">
      <c r="A65" s="17" t="s">
        <v>116</v>
      </c>
      <c r="B65" s="18">
        <f>2840.8</f>
        <v>2840.8</v>
      </c>
      <c r="C65" s="18">
        <f>3374.92</f>
        <v>3374.92</v>
      </c>
      <c r="D65" s="18">
        <f>2860.51</f>
        <v>2860.51</v>
      </c>
      <c r="E65" s="18">
        <f>2147.82</f>
        <v>2147.8200000000002</v>
      </c>
      <c r="F65" s="18">
        <f>3000</f>
        <v>3000</v>
      </c>
      <c r="G65" s="19">
        <f>3000</f>
        <v>3000</v>
      </c>
      <c r="H65" s="4"/>
      <c r="I65" s="4" t="s">
        <v>117</v>
      </c>
      <c r="J65" s="4"/>
    </row>
    <row r="66" spans="1:10" ht="17" x14ac:dyDescent="0.2">
      <c r="A66" s="17" t="s">
        <v>118</v>
      </c>
      <c r="B66" s="18">
        <f>507.89</f>
        <v>507.89</v>
      </c>
      <c r="C66" s="18">
        <f>603.67</f>
        <v>603.66999999999996</v>
      </c>
      <c r="D66" s="18">
        <f>679.52</f>
        <v>679.52</v>
      </c>
      <c r="E66" s="18">
        <f>639.22</f>
        <v>639.22</v>
      </c>
      <c r="F66" s="18">
        <f>750</f>
        <v>750</v>
      </c>
      <c r="G66" s="19">
        <f>750</f>
        <v>750</v>
      </c>
      <c r="H66" s="4"/>
      <c r="I66" s="4"/>
      <c r="J66" s="4"/>
    </row>
    <row r="67" spans="1:10" ht="17" x14ac:dyDescent="0.2">
      <c r="A67" s="17" t="s">
        <v>119</v>
      </c>
      <c r="B67" s="42">
        <f t="shared" ref="B67:G67" si="7">((((B62)+(B63))+(B64))+(B65))+(B66)</f>
        <v>6012.6900000000005</v>
      </c>
      <c r="C67" s="42">
        <f t="shared" si="7"/>
        <v>6655.6900000000005</v>
      </c>
      <c r="D67" s="42">
        <f t="shared" si="7"/>
        <v>6544.9400000000005</v>
      </c>
      <c r="E67" s="42">
        <f t="shared" si="7"/>
        <v>7168.5999999999995</v>
      </c>
      <c r="F67" s="42">
        <f t="shared" si="7"/>
        <v>6250</v>
      </c>
      <c r="G67" s="43">
        <f t="shared" si="7"/>
        <v>6250</v>
      </c>
      <c r="H67" s="4"/>
      <c r="I67" s="4"/>
      <c r="J67" s="4"/>
    </row>
    <row r="68" spans="1:10" ht="17" hidden="1" outlineLevel="1" x14ac:dyDescent="0.2">
      <c r="A68" s="17" t="s">
        <v>120</v>
      </c>
      <c r="B68" s="20"/>
      <c r="C68" s="18">
        <f>189.99</f>
        <v>189.99</v>
      </c>
      <c r="D68" s="20"/>
      <c r="G68" s="26"/>
      <c r="H68" s="8" t="s">
        <v>121</v>
      </c>
      <c r="I68" s="4"/>
      <c r="J68" s="4"/>
    </row>
    <row r="69" spans="1:10" ht="21" collapsed="1" x14ac:dyDescent="0.2">
      <c r="A69" s="17" t="s">
        <v>261</v>
      </c>
      <c r="B69" s="18">
        <f>1750</f>
        <v>1750</v>
      </c>
      <c r="C69" s="18">
        <f>3912.83</f>
        <v>3912.83</v>
      </c>
      <c r="D69" s="18">
        <f>5951.02</f>
        <v>5951.02</v>
      </c>
      <c r="E69" s="18">
        <f>3250</f>
        <v>3250</v>
      </c>
      <c r="F69" s="18">
        <f>3000</f>
        <v>3000</v>
      </c>
      <c r="G69" s="19">
        <v>80000</v>
      </c>
      <c r="H69" s="72" t="s">
        <v>122</v>
      </c>
      <c r="I69" s="4" t="s">
        <v>123</v>
      </c>
      <c r="J69" s="4"/>
    </row>
    <row r="70" spans="1:10" ht="17" x14ac:dyDescent="0.2">
      <c r="A70" s="17" t="s">
        <v>124</v>
      </c>
      <c r="B70" s="18">
        <f>218.99</f>
        <v>218.99</v>
      </c>
      <c r="C70" s="18">
        <f>438.4</f>
        <v>438.4</v>
      </c>
      <c r="D70" s="18">
        <f>1667.87</f>
        <v>1667.87</v>
      </c>
      <c r="E70" s="20"/>
      <c r="F70" s="18">
        <f>1000</f>
        <v>1000</v>
      </c>
      <c r="G70" s="19">
        <f>1000</f>
        <v>1000</v>
      </c>
      <c r="H70" s="4"/>
      <c r="I70" s="4" t="s">
        <v>125</v>
      </c>
      <c r="J70" s="4"/>
    </row>
    <row r="71" spans="1:10" ht="17" x14ac:dyDescent="0.2">
      <c r="A71" s="17" t="s">
        <v>126</v>
      </c>
      <c r="B71" s="20"/>
      <c r="C71" s="20"/>
      <c r="D71" s="20"/>
      <c r="E71" s="20"/>
      <c r="F71" s="20"/>
      <c r="G71" s="21"/>
      <c r="H71" s="4"/>
      <c r="I71" s="4"/>
      <c r="J71" s="4"/>
    </row>
    <row r="72" spans="1:10" ht="17" x14ac:dyDescent="0.2">
      <c r="A72" s="17" t="s">
        <v>127</v>
      </c>
      <c r="B72" s="18">
        <f>1613.68</f>
        <v>1613.68</v>
      </c>
      <c r="C72" s="18">
        <f>602.45</f>
        <v>602.45000000000005</v>
      </c>
      <c r="D72" s="18">
        <f>726.18</f>
        <v>726.18</v>
      </c>
      <c r="E72" s="18">
        <f>600.59</f>
        <v>600.59</v>
      </c>
      <c r="F72" s="18">
        <f>800</f>
        <v>800</v>
      </c>
      <c r="G72" s="19">
        <f>800</f>
        <v>800</v>
      </c>
      <c r="H72" s="4"/>
      <c r="I72" s="4"/>
      <c r="J72" s="4"/>
    </row>
    <row r="73" spans="1:10" ht="17" x14ac:dyDescent="0.2">
      <c r="A73" s="17" t="s">
        <v>128</v>
      </c>
      <c r="B73" s="18">
        <f>818.22</f>
        <v>818.22</v>
      </c>
      <c r="C73" s="18">
        <f>1274.08</f>
        <v>1274.08</v>
      </c>
      <c r="D73" s="18">
        <f>2467.01</f>
        <v>2467.0100000000002</v>
      </c>
      <c r="E73" s="18">
        <f>1325.88</f>
        <v>1325.88</v>
      </c>
      <c r="F73" s="18">
        <f>1400</f>
        <v>1400</v>
      </c>
      <c r="G73" s="19">
        <v>2500</v>
      </c>
      <c r="H73" s="4" t="s">
        <v>129</v>
      </c>
      <c r="I73" s="4" t="s">
        <v>130</v>
      </c>
      <c r="J73" s="4"/>
    </row>
    <row r="74" spans="1:10" ht="17" x14ac:dyDescent="0.2">
      <c r="A74" s="17" t="s">
        <v>131</v>
      </c>
      <c r="B74" s="18">
        <f>1581.58</f>
        <v>1581.58</v>
      </c>
      <c r="C74" s="18">
        <f>1739.01</f>
        <v>1739.01</v>
      </c>
      <c r="D74" s="18">
        <f>1500.99</f>
        <v>1500.99</v>
      </c>
      <c r="E74" s="18">
        <f>1193.79</f>
        <v>1193.79</v>
      </c>
      <c r="F74" s="18">
        <f>1600</f>
        <v>1600</v>
      </c>
      <c r="G74" s="19">
        <f>1600</f>
        <v>1600</v>
      </c>
      <c r="H74" s="4"/>
      <c r="I74" s="4" t="s">
        <v>132</v>
      </c>
      <c r="J74" s="4"/>
    </row>
    <row r="75" spans="1:10" ht="17" x14ac:dyDescent="0.2">
      <c r="A75" s="17" t="s">
        <v>133</v>
      </c>
      <c r="B75" s="42">
        <f t="shared" ref="B75:G75" si="8">(((B71)+(B72))+(B73))+(B74)</f>
        <v>4013.48</v>
      </c>
      <c r="C75" s="42">
        <f t="shared" si="8"/>
        <v>3615.54</v>
      </c>
      <c r="D75" s="42">
        <f t="shared" si="8"/>
        <v>4694.18</v>
      </c>
      <c r="E75" s="42">
        <f t="shared" si="8"/>
        <v>3120.26</v>
      </c>
      <c r="F75" s="42">
        <f t="shared" si="8"/>
        <v>3800</v>
      </c>
      <c r="G75" s="43">
        <f t="shared" si="8"/>
        <v>4900</v>
      </c>
      <c r="H75" s="4"/>
      <c r="I75" s="4"/>
      <c r="J75" s="4"/>
    </row>
    <row r="76" spans="1:10" ht="17" x14ac:dyDescent="0.2">
      <c r="A76" s="17" t="s">
        <v>134</v>
      </c>
      <c r="B76" s="18">
        <f>660.31</f>
        <v>660.31</v>
      </c>
      <c r="C76" s="18">
        <f>611.36</f>
        <v>611.36</v>
      </c>
      <c r="D76" s="18">
        <f>1172.06</f>
        <v>1172.06</v>
      </c>
      <c r="E76" s="18">
        <f>236.95</f>
        <v>236.95</v>
      </c>
      <c r="F76" s="18">
        <f>500</f>
        <v>500</v>
      </c>
      <c r="G76" s="19">
        <f>500</f>
        <v>500</v>
      </c>
      <c r="H76" s="4"/>
      <c r="I76" s="4" t="s">
        <v>135</v>
      </c>
      <c r="J76" s="4"/>
    </row>
    <row r="77" spans="1:10" ht="17" x14ac:dyDescent="0.2">
      <c r="A77" s="17" t="s">
        <v>136</v>
      </c>
      <c r="B77" s="18">
        <f>460.5</f>
        <v>460.5</v>
      </c>
      <c r="C77" s="18">
        <f>192.5</f>
        <v>192.5</v>
      </c>
      <c r="D77" s="18">
        <f>192.5</f>
        <v>192.5</v>
      </c>
      <c r="E77" s="20"/>
      <c r="F77" s="18">
        <f>400</f>
        <v>400</v>
      </c>
      <c r="G77" s="19">
        <f>400</f>
        <v>400</v>
      </c>
      <c r="H77" s="4" t="s">
        <v>137</v>
      </c>
      <c r="I77" s="4" t="s">
        <v>138</v>
      </c>
      <c r="J77" s="4"/>
    </row>
    <row r="78" spans="1:10" ht="17" x14ac:dyDescent="0.2">
      <c r="A78" s="17" t="s">
        <v>139</v>
      </c>
      <c r="B78" s="18">
        <f>2778</f>
        <v>2778</v>
      </c>
      <c r="C78" s="18">
        <f>2741</f>
        <v>2741</v>
      </c>
      <c r="D78" s="18">
        <f>3007</f>
        <v>3007</v>
      </c>
      <c r="E78" s="18">
        <f>3406</f>
        <v>3406</v>
      </c>
      <c r="F78" s="18">
        <f>3000</f>
        <v>3000</v>
      </c>
      <c r="G78" s="19">
        <f>3000</f>
        <v>3000</v>
      </c>
      <c r="H78" s="4"/>
      <c r="I78" s="4"/>
      <c r="J78" s="4"/>
    </row>
    <row r="79" spans="1:10" ht="17" x14ac:dyDescent="0.2">
      <c r="A79" s="17" t="s">
        <v>140</v>
      </c>
      <c r="B79" s="18">
        <f>1217.36</f>
        <v>1217.3599999999999</v>
      </c>
      <c r="C79" s="18">
        <f>2222.06</f>
        <v>2222.06</v>
      </c>
      <c r="D79" s="18">
        <f>4889.32</f>
        <v>4889.32</v>
      </c>
      <c r="E79" s="18">
        <f>4733.11</f>
        <v>4733.1099999999997</v>
      </c>
      <c r="F79" s="18">
        <f>3000</f>
        <v>3000</v>
      </c>
      <c r="G79" s="19">
        <f>3000</f>
        <v>3000</v>
      </c>
      <c r="H79" s="4"/>
      <c r="I79" s="4" t="s">
        <v>141</v>
      </c>
      <c r="J79" s="4"/>
    </row>
    <row r="80" spans="1:10" ht="17" x14ac:dyDescent="0.2">
      <c r="A80" s="17" t="s">
        <v>142</v>
      </c>
      <c r="B80" s="20"/>
      <c r="C80" s="20"/>
      <c r="D80" s="20"/>
      <c r="E80" s="20"/>
      <c r="F80" s="20"/>
      <c r="G80" s="21"/>
      <c r="H80" s="4"/>
      <c r="I80" s="4"/>
      <c r="J80" s="4"/>
    </row>
    <row r="81" spans="1:10" ht="17" x14ac:dyDescent="0.2">
      <c r="A81" s="17" t="s">
        <v>143</v>
      </c>
      <c r="B81" s="18">
        <f>2121.94</f>
        <v>2121.94</v>
      </c>
      <c r="C81" s="18">
        <f>1039.1</f>
        <v>1039.0999999999999</v>
      </c>
      <c r="D81" s="18">
        <f>984.3</f>
        <v>984.3</v>
      </c>
      <c r="E81" s="18">
        <f>601.65</f>
        <v>601.65</v>
      </c>
      <c r="F81" s="18">
        <f>1200</f>
        <v>1200</v>
      </c>
      <c r="G81" s="19">
        <v>0</v>
      </c>
      <c r="H81" s="4" t="s">
        <v>144</v>
      </c>
      <c r="I81" s="4" t="s">
        <v>145</v>
      </c>
      <c r="J81" s="4"/>
    </row>
    <row r="82" spans="1:10" ht="17" x14ac:dyDescent="0.2">
      <c r="A82" s="17" t="s">
        <v>146</v>
      </c>
      <c r="B82" s="18">
        <f>110</f>
        <v>110</v>
      </c>
      <c r="C82" s="18">
        <f>20</f>
        <v>20</v>
      </c>
      <c r="D82" s="18">
        <f>20</f>
        <v>20</v>
      </c>
      <c r="G82" s="26"/>
      <c r="H82" s="4"/>
      <c r="I82" s="4"/>
      <c r="J82" s="4"/>
    </row>
    <row r="83" spans="1:10" ht="17" hidden="1" outlineLevel="1" x14ac:dyDescent="0.2">
      <c r="A83" s="17" t="s">
        <v>147</v>
      </c>
      <c r="B83" s="18">
        <f>362.05</f>
        <v>362.05</v>
      </c>
      <c r="C83" s="18">
        <f>593.38</f>
        <v>593.38</v>
      </c>
      <c r="D83" s="20"/>
      <c r="E83" s="20"/>
      <c r="F83" s="18">
        <f>100</f>
        <v>100</v>
      </c>
      <c r="G83" s="19"/>
      <c r="H83" s="4" t="s">
        <v>148</v>
      </c>
      <c r="I83" s="4"/>
      <c r="J83" s="4"/>
    </row>
    <row r="84" spans="1:10" ht="17" collapsed="1" x14ac:dyDescent="0.2">
      <c r="A84" s="17" t="s">
        <v>149</v>
      </c>
      <c r="B84" s="42">
        <f t="shared" ref="B84:G84" si="9">(((B80)+(B81))+(B82))+(B83)</f>
        <v>2593.9900000000002</v>
      </c>
      <c r="C84" s="42">
        <f t="shared" si="9"/>
        <v>1652.48</v>
      </c>
      <c r="D84" s="42">
        <f t="shared" si="9"/>
        <v>1004.3</v>
      </c>
      <c r="E84" s="42">
        <f t="shared" si="9"/>
        <v>601.65</v>
      </c>
      <c r="F84" s="42">
        <f t="shared" si="9"/>
        <v>1300</v>
      </c>
      <c r="G84" s="43">
        <f t="shared" si="9"/>
        <v>0</v>
      </c>
      <c r="H84" s="4"/>
      <c r="I84" s="4"/>
      <c r="J84" s="4"/>
    </row>
    <row r="85" spans="1:10" ht="17" x14ac:dyDescent="0.2">
      <c r="A85" s="17" t="s">
        <v>150</v>
      </c>
      <c r="B85" s="18">
        <f>2421.55</f>
        <v>2421.5500000000002</v>
      </c>
      <c r="C85" s="18">
        <f>2170</f>
        <v>2170</v>
      </c>
      <c r="D85" s="18">
        <f>2420</f>
        <v>2420</v>
      </c>
      <c r="E85" s="18">
        <f>1904</f>
        <v>1904</v>
      </c>
      <c r="F85" s="18">
        <f>2500</f>
        <v>2500</v>
      </c>
      <c r="G85" s="19">
        <f>2500</f>
        <v>2500</v>
      </c>
      <c r="H85" s="4"/>
      <c r="I85" s="4" t="s">
        <v>151</v>
      </c>
      <c r="J85" s="4"/>
    </row>
    <row r="86" spans="1:10" ht="17" x14ac:dyDescent="0.2">
      <c r="A86" s="17" t="s">
        <v>152</v>
      </c>
      <c r="B86" s="18">
        <f>248</f>
        <v>248</v>
      </c>
      <c r="C86" s="20"/>
      <c r="D86" s="20"/>
      <c r="E86" s="20"/>
      <c r="F86" s="20"/>
      <c r="G86" s="21"/>
      <c r="H86" s="4"/>
      <c r="I86" s="4"/>
      <c r="J86" s="4"/>
    </row>
    <row r="87" spans="1:10" ht="17" x14ac:dyDescent="0.2">
      <c r="A87" s="17" t="s">
        <v>153</v>
      </c>
      <c r="B87" s="18">
        <f>1503.43</f>
        <v>1503.43</v>
      </c>
      <c r="C87" s="18">
        <f>855.43</f>
        <v>855.43</v>
      </c>
      <c r="D87" s="18">
        <f>1413.69</f>
        <v>1413.69</v>
      </c>
      <c r="E87" s="18">
        <f>2077.38</f>
        <v>2077.38</v>
      </c>
      <c r="F87" s="18">
        <f>1000</f>
        <v>1000</v>
      </c>
      <c r="G87" s="19">
        <f>1000</f>
        <v>1000</v>
      </c>
      <c r="H87" s="4"/>
      <c r="I87" s="4" t="s">
        <v>154</v>
      </c>
      <c r="J87" s="4"/>
    </row>
    <row r="88" spans="1:10" ht="17" x14ac:dyDescent="0.2">
      <c r="A88" s="17" t="s">
        <v>155</v>
      </c>
      <c r="B88" s="18">
        <f>3585</f>
        <v>3585</v>
      </c>
      <c r="C88" s="18">
        <f>2900</f>
        <v>2900</v>
      </c>
      <c r="D88" s="18">
        <f>2995</f>
        <v>2995</v>
      </c>
      <c r="E88" s="18">
        <f>2700</f>
        <v>2700</v>
      </c>
      <c r="F88" s="18">
        <f>3500</f>
        <v>3500</v>
      </c>
      <c r="G88" s="19">
        <f>3500</f>
        <v>3500</v>
      </c>
      <c r="H88" s="4"/>
      <c r="I88" s="4" t="s">
        <v>156</v>
      </c>
      <c r="J88" s="4"/>
    </row>
    <row r="89" spans="1:10" ht="17" x14ac:dyDescent="0.2">
      <c r="A89" s="17" t="s">
        <v>157</v>
      </c>
      <c r="B89" s="18">
        <f>3844.35</f>
        <v>3844.35</v>
      </c>
      <c r="C89" s="18">
        <f>3151.8</f>
        <v>3151.8</v>
      </c>
      <c r="D89" s="18">
        <f>5588.06</f>
        <v>5588.06</v>
      </c>
      <c r="E89" s="18">
        <f>11858.95</f>
        <v>11858.95</v>
      </c>
      <c r="F89" s="18">
        <f>3500</f>
        <v>3500</v>
      </c>
      <c r="G89" s="19">
        <v>5000</v>
      </c>
      <c r="H89" s="4" t="s">
        <v>158</v>
      </c>
      <c r="I89" s="4" t="s">
        <v>159</v>
      </c>
      <c r="J89" s="4"/>
    </row>
    <row r="90" spans="1:10" ht="17" x14ac:dyDescent="0.2">
      <c r="A90" s="17" t="s">
        <v>160</v>
      </c>
      <c r="B90" s="18">
        <f>1551</f>
        <v>1551</v>
      </c>
      <c r="C90" s="18">
        <f>1714.14</f>
        <v>1714.14</v>
      </c>
      <c r="D90" s="18">
        <f>8109.8</f>
        <v>8109.8</v>
      </c>
      <c r="E90" s="18">
        <f>7955.47</f>
        <v>7955.47</v>
      </c>
      <c r="F90" s="18">
        <f>3000</f>
        <v>3000</v>
      </c>
      <c r="G90" s="19">
        <f>3000</f>
        <v>3000</v>
      </c>
      <c r="H90" s="4"/>
      <c r="I90" s="4" t="s">
        <v>161</v>
      </c>
      <c r="J90" s="4"/>
    </row>
    <row r="91" spans="1:10" ht="17" hidden="1" outlineLevel="1" x14ac:dyDescent="0.2">
      <c r="A91" s="17" t="s">
        <v>162</v>
      </c>
      <c r="B91" s="18">
        <f>365</f>
        <v>365</v>
      </c>
      <c r="C91" s="20"/>
      <c r="D91" s="20"/>
      <c r="G91" s="26"/>
      <c r="H91" s="4"/>
      <c r="I91" s="4"/>
      <c r="J91" s="4"/>
    </row>
    <row r="92" spans="1:10" ht="17" collapsed="1" x14ac:dyDescent="0.2">
      <c r="A92" s="17" t="s">
        <v>163</v>
      </c>
      <c r="B92" s="42">
        <f>(((((B86)+(B87))+(B88))+(B89))+(B90))+(B91)</f>
        <v>11096.78</v>
      </c>
      <c r="C92" s="42">
        <f>(((((C86)+(C87))+(C88))+(C89))+(C90))+(C91)</f>
        <v>8621.369999999999</v>
      </c>
      <c r="D92" s="42">
        <f>(((((D86)+(D87))+(D88))+(D89))+(D90))+(D91)</f>
        <v>18106.55</v>
      </c>
      <c r="E92" s="42">
        <f>((((E86)+(E87))+(E88))+(E89))+(E90)</f>
        <v>24591.800000000003</v>
      </c>
      <c r="F92" s="42">
        <f>((((F86)+(F87))+(F88))+(F89))+(F90)</f>
        <v>11000</v>
      </c>
      <c r="G92" s="43">
        <f>((((G86)+(G87))+(G88))+(G89))+(G90)</f>
        <v>12500</v>
      </c>
      <c r="H92" s="4"/>
      <c r="I92" s="4"/>
      <c r="J92" s="4"/>
    </row>
    <row r="93" spans="1:10" ht="17" x14ac:dyDescent="0.2">
      <c r="A93" s="39" t="s">
        <v>164</v>
      </c>
      <c r="B93" s="40">
        <f>((((((((((((B61)+(B67))+(B68))+(B69))+(B70))+(B75))+(B76))+(B77))+(B78))+(B79))+(B84))+(B85))+(B92)</f>
        <v>33223.65</v>
      </c>
      <c r="C93" s="40">
        <f>((((((((((((C61)+(C67))+(C68))+(C69))+(C70))+(C75))+(C76))+(C77))+(C78))+(C79))+(C84))+(C85))+(C92)</f>
        <v>33023.22</v>
      </c>
      <c r="D93" s="40">
        <f>((((((((((((D61)+(D67))+(D68))+(D69))+(D70))+(D75))+(D76))+(D77))+(D78))+(D79))+(D84))+(D85))+(D92)</f>
        <v>49649.740000000005</v>
      </c>
      <c r="E93" s="40">
        <f>(((((((((((E61)+(E67))+(E69))+(E70))+(E75))+(E76))+(E77))+(E78))+(E79))+(E84))+(E85))+(E92)</f>
        <v>49012.37</v>
      </c>
      <c r="F93" s="40">
        <f>(((((((((((F61)+(F67))+(F69))+(F70))+(F75))+(F76))+(F77))+(F78))+(F79))+(F84))+(F85))+(F92)</f>
        <v>35750</v>
      </c>
      <c r="G93" s="41">
        <f>(((((((((((G61)+(G67))+(G69))+(G70))+(G75))+(G76))+(G77))+(G78))+(G79))+(G84))+(G85))+(G92)</f>
        <v>114050</v>
      </c>
      <c r="H93" s="4"/>
      <c r="I93" s="4"/>
      <c r="J93" s="4"/>
    </row>
    <row r="94" spans="1:10" ht="17" x14ac:dyDescent="0.2">
      <c r="A94" s="17" t="s">
        <v>165</v>
      </c>
      <c r="B94" s="20"/>
      <c r="C94" s="20"/>
      <c r="D94" s="20"/>
      <c r="E94" s="20"/>
      <c r="F94" s="20"/>
      <c r="G94" s="21"/>
      <c r="H94" s="4"/>
      <c r="I94" s="4"/>
      <c r="J94" s="4"/>
    </row>
    <row r="95" spans="1:10" ht="17" x14ac:dyDescent="0.2">
      <c r="A95" s="17" t="s">
        <v>166</v>
      </c>
      <c r="B95" s="18">
        <f>7804.63</f>
        <v>7804.63</v>
      </c>
      <c r="C95" s="18">
        <f>9438.77</f>
        <v>9438.77</v>
      </c>
      <c r="D95" s="18">
        <f>8969.31</f>
        <v>8969.31</v>
      </c>
      <c r="E95" s="18">
        <f>5903.73</f>
        <v>5903.73</v>
      </c>
      <c r="F95" s="18">
        <f>9000</f>
        <v>9000</v>
      </c>
      <c r="G95" s="19">
        <f>9000</f>
        <v>9000</v>
      </c>
      <c r="H95" s="4"/>
      <c r="I95" s="4"/>
      <c r="J95" s="4"/>
    </row>
    <row r="96" spans="1:10" ht="17" x14ac:dyDescent="0.2">
      <c r="A96" s="17" t="s">
        <v>167</v>
      </c>
      <c r="B96" s="20"/>
      <c r="C96" s="18">
        <f>1100</f>
        <v>1100</v>
      </c>
      <c r="D96" s="18">
        <f>3691.9</f>
        <v>3691.9</v>
      </c>
      <c r="E96" s="18">
        <f>1871.9</f>
        <v>1871.9</v>
      </c>
      <c r="F96" s="18">
        <f>2096</f>
        <v>2096</v>
      </c>
      <c r="G96" s="19">
        <v>3000</v>
      </c>
      <c r="H96" s="4" t="s">
        <v>168</v>
      </c>
      <c r="I96" s="4" t="s">
        <v>169</v>
      </c>
      <c r="J96" s="4"/>
    </row>
    <row r="97" spans="1:13" ht="17" x14ac:dyDescent="0.2">
      <c r="A97" s="17" t="s">
        <v>170</v>
      </c>
      <c r="B97" s="18">
        <f>0</f>
        <v>0</v>
      </c>
      <c r="C97" s="18">
        <f>397.24</f>
        <v>397.24</v>
      </c>
      <c r="D97" s="18">
        <f>215.52</f>
        <v>215.52</v>
      </c>
      <c r="E97" s="18">
        <f>4739.45</f>
        <v>4739.45</v>
      </c>
      <c r="F97" s="18">
        <f>1000</f>
        <v>1000</v>
      </c>
      <c r="G97" s="19">
        <v>500</v>
      </c>
      <c r="H97" s="4" t="s">
        <v>171</v>
      </c>
      <c r="I97" s="4" t="s">
        <v>172</v>
      </c>
      <c r="J97" s="4"/>
    </row>
    <row r="98" spans="1:13" ht="21" x14ac:dyDescent="0.2">
      <c r="A98" s="17" t="s">
        <v>263</v>
      </c>
      <c r="B98" s="18">
        <f>8745</f>
        <v>8745</v>
      </c>
      <c r="C98" s="20"/>
      <c r="D98" s="20"/>
      <c r="E98" s="20"/>
      <c r="F98" s="18">
        <f>5000</f>
        <v>5000</v>
      </c>
      <c r="G98" s="19">
        <v>150000</v>
      </c>
      <c r="H98" s="4" t="s">
        <v>257</v>
      </c>
      <c r="I98" s="4"/>
      <c r="J98" s="4"/>
    </row>
    <row r="99" spans="1:13" ht="17" x14ac:dyDescent="0.2">
      <c r="A99" s="17" t="s">
        <v>173</v>
      </c>
      <c r="B99" s="20"/>
      <c r="C99" s="18">
        <f>14476</f>
        <v>14476</v>
      </c>
      <c r="D99" s="18">
        <f>28262.44</f>
        <v>28262.44</v>
      </c>
      <c r="G99" s="19"/>
      <c r="H99" s="4"/>
      <c r="I99" s="4" t="s">
        <v>174</v>
      </c>
      <c r="J99" s="4"/>
    </row>
    <row r="100" spans="1:13" ht="17" x14ac:dyDescent="0.2">
      <c r="A100" s="17" t="s">
        <v>175</v>
      </c>
      <c r="B100" s="20"/>
      <c r="C100" s="20"/>
      <c r="D100" s="18">
        <f>26500</f>
        <v>26500</v>
      </c>
      <c r="E100" s="20"/>
      <c r="F100" s="18">
        <f>204106</f>
        <v>204106</v>
      </c>
      <c r="G100" s="19"/>
      <c r="H100" s="4"/>
      <c r="I100" s="4" t="s">
        <v>176</v>
      </c>
      <c r="J100" s="4"/>
    </row>
    <row r="101" spans="1:13" ht="17" x14ac:dyDescent="0.2">
      <c r="A101" s="17" t="s">
        <v>177</v>
      </c>
      <c r="B101" s="42">
        <f t="shared" ref="B101:G101" si="10">B98+B99+B100</f>
        <v>8745</v>
      </c>
      <c r="C101" s="42">
        <f>C98+C99+C100</f>
        <v>14476</v>
      </c>
      <c r="D101" s="42">
        <f>D98+D99+D100</f>
        <v>54762.44</v>
      </c>
      <c r="E101" s="42">
        <f>E98+E99+E100</f>
        <v>0</v>
      </c>
      <c r="F101" s="42">
        <f t="shared" si="10"/>
        <v>209106</v>
      </c>
      <c r="G101" s="43">
        <f t="shared" si="10"/>
        <v>150000</v>
      </c>
      <c r="H101" s="4"/>
      <c r="I101" s="4"/>
      <c r="J101" s="4"/>
    </row>
    <row r="102" spans="1:13" ht="21" x14ac:dyDescent="0.2">
      <c r="A102" s="17" t="s">
        <v>262</v>
      </c>
      <c r="B102" s="35"/>
      <c r="C102" s="35"/>
      <c r="D102" s="35"/>
      <c r="E102" s="18"/>
      <c r="F102" s="18">
        <f>5000</f>
        <v>5000</v>
      </c>
      <c r="G102" s="19">
        <v>125000</v>
      </c>
      <c r="H102" s="4" t="s">
        <v>259</v>
      </c>
      <c r="I102" s="4" t="s">
        <v>178</v>
      </c>
      <c r="J102" s="4"/>
    </row>
    <row r="103" spans="1:13" ht="17" x14ac:dyDescent="0.2">
      <c r="A103" s="17" t="s">
        <v>179</v>
      </c>
      <c r="B103" s="18">
        <f>2900</f>
        <v>2900</v>
      </c>
      <c r="C103" s="20"/>
      <c r="D103" s="20"/>
      <c r="E103" s="20"/>
      <c r="F103" s="18">
        <f>5000</f>
        <v>5000</v>
      </c>
      <c r="G103" s="19">
        <f>5000</f>
        <v>5000</v>
      </c>
      <c r="H103" s="4" t="s">
        <v>180</v>
      </c>
      <c r="I103" s="4"/>
      <c r="J103" s="4"/>
    </row>
    <row r="104" spans="1:13" ht="17" x14ac:dyDescent="0.2">
      <c r="A104" s="39" t="s">
        <v>181</v>
      </c>
      <c r="B104" s="40">
        <f>(((((B94)+(B95))+(B96))+(B97))+(B101))+(B103)</f>
        <v>19449.63</v>
      </c>
      <c r="C104" s="40">
        <f>SUM(C95:C100)+SUM(C102:C103)</f>
        <v>25412.010000000002</v>
      </c>
      <c r="D104" s="40">
        <f>SUM(D95:D100)+SUM(D102:D103)</f>
        <v>67639.17</v>
      </c>
      <c r="E104" s="40">
        <f>SUM(E95:E100)+SUM(E102:E103)</f>
        <v>12515.079999999998</v>
      </c>
      <c r="F104" s="40">
        <f>SUM(F95:F100)+SUM(F102:F103)</f>
        <v>231202</v>
      </c>
      <c r="G104" s="41">
        <f>SUM(G95:G100)+SUM(G102:G103)</f>
        <v>292500</v>
      </c>
      <c r="H104" s="4"/>
      <c r="I104" s="4"/>
      <c r="J104" s="4"/>
    </row>
    <row r="105" spans="1:13" ht="17" x14ac:dyDescent="0.2">
      <c r="A105" s="17" t="s">
        <v>182</v>
      </c>
      <c r="B105" s="20"/>
      <c r="C105" s="20"/>
      <c r="D105" s="20"/>
      <c r="E105" s="20"/>
      <c r="F105" s="20"/>
      <c r="G105" s="21"/>
      <c r="H105" s="4"/>
      <c r="I105" s="4"/>
      <c r="J105" s="4"/>
    </row>
    <row r="106" spans="1:13" ht="17" x14ac:dyDescent="0.2">
      <c r="A106" s="17" t="s">
        <v>183</v>
      </c>
      <c r="B106" s="20"/>
      <c r="C106" s="20"/>
      <c r="D106" s="20"/>
      <c r="E106" s="20"/>
      <c r="F106" s="20"/>
      <c r="G106" s="21"/>
      <c r="H106" s="4"/>
      <c r="I106" s="4"/>
      <c r="J106" s="4"/>
    </row>
    <row r="107" spans="1:13" ht="17" x14ac:dyDescent="0.2">
      <c r="A107" s="17" t="s">
        <v>184</v>
      </c>
      <c r="B107" s="18">
        <f>9260.75</f>
        <v>9260.75</v>
      </c>
      <c r="C107" s="18">
        <f>6646</f>
        <v>6646</v>
      </c>
      <c r="D107" s="18">
        <f>4957.38</f>
        <v>4957.38</v>
      </c>
      <c r="E107" s="18">
        <f>14276.96</f>
        <v>14276.96</v>
      </c>
      <c r="F107" s="18">
        <f>18271</f>
        <v>18271</v>
      </c>
      <c r="G107" s="19">
        <f>18271+1000</f>
        <v>19271</v>
      </c>
      <c r="H107" s="54" t="s">
        <v>185</v>
      </c>
      <c r="I107" s="85" t="s">
        <v>186</v>
      </c>
      <c r="J107" s="4"/>
    </row>
    <row r="108" spans="1:13" ht="17" x14ac:dyDescent="0.2">
      <c r="A108" s="17" t="s">
        <v>187</v>
      </c>
      <c r="B108" s="18">
        <f>5788</f>
        <v>5788</v>
      </c>
      <c r="C108" s="18">
        <f>13715.98</f>
        <v>13715.98</v>
      </c>
      <c r="D108" s="18">
        <f>16324.76</f>
        <v>16324.76</v>
      </c>
      <c r="E108" s="18">
        <f>1504.7</f>
        <v>1504.7</v>
      </c>
      <c r="F108" s="20"/>
      <c r="G108" s="21"/>
      <c r="H108" s="4" t="s">
        <v>188</v>
      </c>
      <c r="I108" s="85"/>
      <c r="J108" s="4"/>
    </row>
    <row r="109" spans="1:13" ht="17" x14ac:dyDescent="0.2">
      <c r="A109" s="17" t="s">
        <v>189</v>
      </c>
      <c r="B109" s="18">
        <f>500</f>
        <v>500</v>
      </c>
      <c r="C109" s="18">
        <f>212</f>
        <v>212</v>
      </c>
      <c r="D109" s="20"/>
      <c r="E109" s="18">
        <f>541.94</f>
        <v>541.94000000000005</v>
      </c>
      <c r="F109" s="18">
        <f>2520</f>
        <v>2520</v>
      </c>
      <c r="G109" s="19">
        <v>2500</v>
      </c>
      <c r="H109" s="4" t="s">
        <v>190</v>
      </c>
      <c r="I109" s="4" t="s">
        <v>191</v>
      </c>
      <c r="J109" s="4" t="s">
        <v>192</v>
      </c>
    </row>
    <row r="110" spans="1:13" ht="17" x14ac:dyDescent="0.2">
      <c r="A110" s="17" t="s">
        <v>193</v>
      </c>
      <c r="B110" s="42">
        <f t="shared" ref="B110:G110" si="11">(((B106)+(B107))+(B108))+(B109)</f>
        <v>15548.75</v>
      </c>
      <c r="C110" s="42">
        <f>(((C106)+(C107))+(C108))+(C109)</f>
        <v>20573.98</v>
      </c>
      <c r="D110" s="42">
        <f>(((D106)+(D107))+(D108))+(D109)</f>
        <v>21282.14</v>
      </c>
      <c r="E110" s="42">
        <f t="shared" si="11"/>
        <v>16323.6</v>
      </c>
      <c r="F110" s="42">
        <f t="shared" si="11"/>
        <v>20791</v>
      </c>
      <c r="G110" s="43">
        <f t="shared" si="11"/>
        <v>21771</v>
      </c>
      <c r="H110" s="4"/>
      <c r="I110" s="4"/>
      <c r="J110" s="4"/>
      <c r="M110" s="6"/>
    </row>
    <row r="111" spans="1:13" ht="17" x14ac:dyDescent="0.2">
      <c r="A111" s="17" t="s">
        <v>194</v>
      </c>
      <c r="B111" s="18">
        <f>25326.75</f>
        <v>25326.75</v>
      </c>
      <c r="C111" s="18">
        <f>17910.91</f>
        <v>17910.91</v>
      </c>
      <c r="D111" s="18">
        <f>1095</f>
        <v>1095</v>
      </c>
      <c r="E111" s="18">
        <f>12355.96</f>
        <v>12355.96</v>
      </c>
      <c r="F111" s="18">
        <f>25000</f>
        <v>25000</v>
      </c>
      <c r="G111" s="19">
        <v>20000</v>
      </c>
      <c r="H111" s="4" t="s">
        <v>195</v>
      </c>
      <c r="I111" s="4"/>
      <c r="J111" s="4"/>
    </row>
    <row r="112" spans="1:13" ht="17" x14ac:dyDescent="0.2">
      <c r="A112" s="17" t="s">
        <v>196</v>
      </c>
      <c r="B112" s="18">
        <f>38400</f>
        <v>38400</v>
      </c>
      <c r="C112" s="18">
        <f>39600</f>
        <v>39600</v>
      </c>
      <c r="D112" s="18">
        <f>42075</f>
        <v>42075</v>
      </c>
      <c r="E112" s="18">
        <f>32877</f>
        <v>32877</v>
      </c>
      <c r="F112" s="18">
        <f>43600</f>
        <v>43600</v>
      </c>
      <c r="G112" s="19">
        <f>43600+1200</f>
        <v>44800</v>
      </c>
      <c r="H112" s="54" t="s">
        <v>197</v>
      </c>
      <c r="I112" s="85" t="s">
        <v>198</v>
      </c>
      <c r="J112" s="4"/>
    </row>
    <row r="113" spans="1:10" ht="17" x14ac:dyDescent="0.2">
      <c r="A113" s="17" t="s">
        <v>199</v>
      </c>
      <c r="B113" s="20"/>
      <c r="C113" s="20"/>
      <c r="D113" s="20"/>
      <c r="E113" s="20"/>
      <c r="F113" s="20"/>
      <c r="G113" s="21"/>
      <c r="H113" s="4"/>
      <c r="I113" s="85"/>
      <c r="J113" s="4"/>
    </row>
    <row r="114" spans="1:10" ht="17" x14ac:dyDescent="0.2">
      <c r="A114" s="17" t="s">
        <v>200</v>
      </c>
      <c r="B114" s="18">
        <f>1140</f>
        <v>1140</v>
      </c>
      <c r="C114" s="18">
        <f>4980</f>
        <v>4980</v>
      </c>
      <c r="D114" s="18">
        <f>5400</f>
        <v>5400</v>
      </c>
      <c r="E114" s="18">
        <f>7650</f>
        <v>7650</v>
      </c>
      <c r="F114" s="18">
        <f>3000</f>
        <v>3000</v>
      </c>
      <c r="G114" s="19">
        <v>8000</v>
      </c>
      <c r="H114" s="4" t="s">
        <v>201</v>
      </c>
      <c r="I114" s="4"/>
      <c r="J114" s="4"/>
    </row>
    <row r="115" spans="1:10" ht="17" x14ac:dyDescent="0.2">
      <c r="A115" s="17" t="s">
        <v>202</v>
      </c>
      <c r="B115" s="18">
        <f>0</f>
        <v>0</v>
      </c>
      <c r="C115" s="18">
        <f>4040</f>
        <v>4040</v>
      </c>
      <c r="D115" s="18">
        <f>729</f>
        <v>729</v>
      </c>
      <c r="E115" s="20"/>
      <c r="F115" s="18">
        <f>3000</f>
        <v>3000</v>
      </c>
      <c r="G115" s="19">
        <f>3000</f>
        <v>3000</v>
      </c>
      <c r="H115" s="4"/>
      <c r="I115" s="4"/>
      <c r="J115" s="4"/>
    </row>
    <row r="116" spans="1:10" ht="17" x14ac:dyDescent="0.2">
      <c r="A116" s="17" t="s">
        <v>203</v>
      </c>
      <c r="B116" s="42">
        <f t="shared" ref="B116:G116" si="12">((B113)+(B114))+(B115)</f>
        <v>1140</v>
      </c>
      <c r="C116" s="42">
        <f t="shared" si="12"/>
        <v>9020</v>
      </c>
      <c r="D116" s="42">
        <f t="shared" si="12"/>
        <v>6129</v>
      </c>
      <c r="E116" s="42">
        <f t="shared" si="12"/>
        <v>7650</v>
      </c>
      <c r="F116" s="42">
        <f t="shared" si="12"/>
        <v>6000</v>
      </c>
      <c r="G116" s="43">
        <f t="shared" si="12"/>
        <v>11000</v>
      </c>
      <c r="H116" s="4"/>
      <c r="I116" s="4"/>
      <c r="J116" s="4"/>
    </row>
    <row r="117" spans="1:10" ht="17" x14ac:dyDescent="0.2">
      <c r="A117" s="17" t="s">
        <v>204</v>
      </c>
      <c r="B117" s="18">
        <f>13650</f>
        <v>13650</v>
      </c>
      <c r="C117" s="18">
        <f>5850</f>
        <v>5850</v>
      </c>
      <c r="D117" s="18">
        <f>6808.5</f>
        <v>6808.5</v>
      </c>
      <c r="E117" s="18">
        <f>9091.6</f>
        <v>9091.6</v>
      </c>
      <c r="F117" s="18">
        <f>6750</f>
        <v>6750</v>
      </c>
      <c r="G117" s="19">
        <f>6750</f>
        <v>6750</v>
      </c>
      <c r="H117" s="4" t="s">
        <v>205</v>
      </c>
      <c r="I117" s="4" t="s">
        <v>206</v>
      </c>
      <c r="J117" s="4"/>
    </row>
    <row r="118" spans="1:10" ht="17" x14ac:dyDescent="0.2">
      <c r="A118" s="17" t="s">
        <v>207</v>
      </c>
      <c r="B118" s="18">
        <f>250</f>
        <v>250</v>
      </c>
      <c r="C118" s="18">
        <f>4404.52</f>
        <v>4404.5200000000004</v>
      </c>
      <c r="D118" s="18">
        <f>5261.24</f>
        <v>5261.24</v>
      </c>
      <c r="E118" s="18">
        <f>5080.53</f>
        <v>5080.53</v>
      </c>
      <c r="F118" s="18">
        <f>5500</f>
        <v>5500</v>
      </c>
      <c r="G118" s="19">
        <f>5500</f>
        <v>5500</v>
      </c>
      <c r="H118" s="4" t="s">
        <v>208</v>
      </c>
      <c r="I118" s="4" t="s">
        <v>208</v>
      </c>
      <c r="J118" s="4"/>
    </row>
    <row r="119" spans="1:10" ht="17" x14ac:dyDescent="0.2">
      <c r="A119" s="17" t="s">
        <v>209</v>
      </c>
      <c r="B119" s="20"/>
      <c r="C119" s="18">
        <f>139.09</f>
        <v>139.09</v>
      </c>
      <c r="D119" s="18">
        <f>349.25</f>
        <v>349.25</v>
      </c>
      <c r="E119" s="18">
        <f>111.2</f>
        <v>111.2</v>
      </c>
      <c r="F119" s="18">
        <f>500</f>
        <v>500</v>
      </c>
      <c r="G119" s="19">
        <f>500</f>
        <v>500</v>
      </c>
      <c r="H119" s="4"/>
      <c r="I119" s="4"/>
      <c r="J119" s="4"/>
    </row>
    <row r="120" spans="1:10" ht="17" x14ac:dyDescent="0.2">
      <c r="A120" s="17" t="s">
        <v>210</v>
      </c>
      <c r="B120" s="42">
        <f t="shared" ref="B120:G120" si="13">(B118)+(B119)</f>
        <v>250</v>
      </c>
      <c r="C120" s="42">
        <f t="shared" si="13"/>
        <v>4543.6100000000006</v>
      </c>
      <c r="D120" s="42">
        <f t="shared" si="13"/>
        <v>5610.49</v>
      </c>
      <c r="E120" s="42">
        <f t="shared" si="13"/>
        <v>5191.7299999999996</v>
      </c>
      <c r="F120" s="42">
        <f t="shared" si="13"/>
        <v>6000</v>
      </c>
      <c r="G120" s="43">
        <f t="shared" si="13"/>
        <v>6000</v>
      </c>
      <c r="H120" s="4"/>
      <c r="I120" s="4"/>
      <c r="J120" s="4"/>
    </row>
    <row r="121" spans="1:10" ht="17" x14ac:dyDescent="0.2">
      <c r="A121" s="17" t="s">
        <v>211</v>
      </c>
      <c r="B121" s="18">
        <f>4000</f>
        <v>4000</v>
      </c>
      <c r="C121" s="18">
        <f>3000</f>
        <v>3000</v>
      </c>
      <c r="D121" s="18">
        <f>3000</f>
        <v>3000</v>
      </c>
      <c r="E121" s="18">
        <f>3000</f>
        <v>3000</v>
      </c>
      <c r="F121" s="18">
        <f>3000</f>
        <v>3000</v>
      </c>
      <c r="G121" s="19">
        <f>3000</f>
        <v>3000</v>
      </c>
      <c r="H121" s="4" t="s">
        <v>212</v>
      </c>
      <c r="I121" s="4" t="s">
        <v>212</v>
      </c>
      <c r="J121" s="4"/>
    </row>
    <row r="122" spans="1:10" ht="17" x14ac:dyDescent="0.2">
      <c r="A122" s="53" t="s">
        <v>213</v>
      </c>
      <c r="B122" s="18"/>
      <c r="C122" s="18"/>
      <c r="D122" s="18"/>
      <c r="E122" s="18"/>
      <c r="F122" s="18"/>
      <c r="G122" s="19">
        <v>2000</v>
      </c>
      <c r="H122" s="54" t="s">
        <v>214</v>
      </c>
      <c r="I122" s="4"/>
      <c r="J122" s="4"/>
    </row>
    <row r="123" spans="1:10" ht="22" x14ac:dyDescent="0.25">
      <c r="A123" s="53" t="s">
        <v>266</v>
      </c>
      <c r="B123" s="79"/>
      <c r="C123" s="79"/>
      <c r="D123" s="18"/>
      <c r="E123" s="18"/>
      <c r="F123" s="18"/>
      <c r="G123" s="19">
        <v>4912</v>
      </c>
      <c r="H123" s="80" t="s">
        <v>265</v>
      </c>
      <c r="I123" s="81"/>
      <c r="J123" s="4"/>
    </row>
    <row r="124" spans="1:10" ht="17" x14ac:dyDescent="0.2">
      <c r="A124" s="39" t="s">
        <v>215</v>
      </c>
      <c r="B124" s="40">
        <f>(((((((B105)+(B110))+(B111))+(B112))+(B116))+(B117))+(B120))+(B121)</f>
        <v>98315.5</v>
      </c>
      <c r="C124" s="40">
        <f>(((((((C105)+(C110))+(C111))+(C112))+(C116))+(C117))+(C120))+(C121)</f>
        <v>100498.5</v>
      </c>
      <c r="D124" s="40">
        <f>(((((((D105)+(D110))+(D111))+(D112))+(D116))+(D117))+(D120))+(D121)</f>
        <v>86000.13</v>
      </c>
      <c r="E124" s="40">
        <f>(((((((E105)+(E110))+(E111))+(E112))+(E116))+(E117))+(E120))+(E121)</f>
        <v>86489.89</v>
      </c>
      <c r="F124" s="40">
        <f>(((((((F105)+(F110))+(F111))+(F112))+(F116))+(F117))+(F120))+(F121)</f>
        <v>111141</v>
      </c>
      <c r="G124" s="41">
        <f>(((((((G105)+(G110))+(G111))+(G112))+(G116))+(G117))+(G120))+(G121)+G122+G123</f>
        <v>120233</v>
      </c>
      <c r="H124" s="4"/>
      <c r="I124" s="4"/>
      <c r="J124" s="4" t="s">
        <v>218</v>
      </c>
    </row>
    <row r="125" spans="1:10" ht="17" hidden="1" outlineLevel="1" x14ac:dyDescent="0.2">
      <c r="A125" s="44" t="s">
        <v>216</v>
      </c>
      <c r="B125" s="35"/>
      <c r="C125" s="35"/>
      <c r="D125" s="35"/>
      <c r="E125" s="18">
        <f>-1133.34</f>
        <v>-1133.3399999999999</v>
      </c>
      <c r="F125" s="35"/>
      <c r="G125" s="36"/>
      <c r="H125" s="4" t="s">
        <v>217</v>
      </c>
      <c r="I125" s="4"/>
      <c r="J125" s="4"/>
    </row>
    <row r="126" spans="1:10" ht="17" collapsed="1" x14ac:dyDescent="0.2">
      <c r="A126" s="17" t="s">
        <v>219</v>
      </c>
      <c r="B126" s="18">
        <f>0</f>
        <v>0</v>
      </c>
      <c r="C126" s="20"/>
      <c r="D126" s="20"/>
      <c r="F126" s="20"/>
      <c r="G126" s="21"/>
      <c r="H126" s="4"/>
      <c r="I126" s="4"/>
      <c r="J126" s="4"/>
    </row>
    <row r="127" spans="1:10" ht="17" hidden="1" outlineLevel="1" x14ac:dyDescent="0.2">
      <c r="A127" s="17" t="s">
        <v>220</v>
      </c>
      <c r="B127" s="18">
        <f>27029</f>
        <v>27029</v>
      </c>
      <c r="C127" s="18">
        <f>26955</f>
        <v>26955</v>
      </c>
      <c r="D127" s="18">
        <f>27909</f>
        <v>27909</v>
      </c>
      <c r="E127" s="20"/>
      <c r="F127" s="20"/>
      <c r="G127" s="21">
        <v>28000</v>
      </c>
      <c r="H127" s="4"/>
      <c r="I127" s="4"/>
      <c r="J127" s="4"/>
    </row>
    <row r="128" spans="1:10" ht="18" collapsed="1" thickBot="1" x14ac:dyDescent="0.25">
      <c r="A128" s="17" t="s">
        <v>221</v>
      </c>
      <c r="B128" s="18">
        <f>0.01</f>
        <v>0.01</v>
      </c>
      <c r="C128" s="18">
        <f>17.99</f>
        <v>17.989999999999998</v>
      </c>
      <c r="D128" s="20"/>
      <c r="E128" s="45">
        <f>0</f>
        <v>0</v>
      </c>
      <c r="F128" s="46"/>
      <c r="G128" s="47"/>
      <c r="H128" s="8"/>
      <c r="I128" s="4"/>
      <c r="J128" s="33"/>
    </row>
    <row r="129" spans="1:10" ht="22" thickTop="1" thickBot="1" x14ac:dyDescent="0.3">
      <c r="A129" s="59" t="s">
        <v>222</v>
      </c>
      <c r="B129" s="60">
        <f>(((((((B46)+(B60))+(B93))+(B104))+(B124))+(B126))+(B127))+(B128)</f>
        <v>280331.51</v>
      </c>
      <c r="C129" s="60">
        <f>(((((((C46)+(C60))+(C93))+(C104))+(C124))+(C126))+(C127))+(C128)+C125</f>
        <v>286816.69</v>
      </c>
      <c r="D129" s="60">
        <f>(((((((D46)+(D60))+(D93))+(D104))+(D124))+(D126))+(D127))+(D128)+D125</f>
        <v>343319.08</v>
      </c>
      <c r="E129" s="60">
        <f>(((((((E46)+(E60))+(E93))+(E104))+(E124))+(E126))+(E127))+(E128)+E125</f>
        <v>227693.79</v>
      </c>
      <c r="F129" s="60">
        <f>(((((((F46)+(F60))+(F93))+(F104))+(F124))+(F126))+(F127))+(F128)+F125</f>
        <v>502968</v>
      </c>
      <c r="G129" s="41">
        <f>(((((((G46)+(G60))+(G93))+(G104))+(G124))+(G126))+(G127))+(G128)+G125</f>
        <v>676733</v>
      </c>
      <c r="H129" s="33"/>
      <c r="I129" s="33"/>
      <c r="J129" s="4"/>
    </row>
    <row r="130" spans="1:10" ht="18" thickTop="1" thickBot="1" x14ac:dyDescent="0.25">
      <c r="I130" s="62"/>
      <c r="J130" s="38"/>
    </row>
    <row r="131" spans="1:10" ht="23" thickTop="1" thickBot="1" x14ac:dyDescent="0.3">
      <c r="A131" s="55" t="s">
        <v>223</v>
      </c>
      <c r="B131" s="56"/>
      <c r="C131" s="56"/>
      <c r="D131" s="56"/>
      <c r="E131" s="56"/>
      <c r="F131" s="56"/>
      <c r="G131" s="56"/>
      <c r="H131" s="57"/>
      <c r="I131" s="38"/>
      <c r="J131" s="4"/>
    </row>
    <row r="132" spans="1:10" ht="18" thickTop="1" x14ac:dyDescent="0.2">
      <c r="A132" s="17" t="s">
        <v>224</v>
      </c>
      <c r="B132" s="42">
        <f t="shared" ref="B132:G132" si="14">(B38)-(B129)</f>
        <v>141054.83999999997</v>
      </c>
      <c r="C132" s="42">
        <f t="shared" si="14"/>
        <v>171338.52000000002</v>
      </c>
      <c r="D132" s="42">
        <f t="shared" si="14"/>
        <v>259567.14999999985</v>
      </c>
      <c r="E132" s="42">
        <f t="shared" si="14"/>
        <v>184749.81999999992</v>
      </c>
      <c r="F132" s="42">
        <f t="shared" si="14"/>
        <v>130112</v>
      </c>
      <c r="G132" s="43">
        <f t="shared" si="14"/>
        <v>199819.09999999998</v>
      </c>
      <c r="H132" s="8"/>
      <c r="I132" s="4"/>
      <c r="J132" s="4"/>
    </row>
    <row r="133" spans="1:10" ht="17" x14ac:dyDescent="0.2">
      <c r="A133" s="17" t="s">
        <v>225</v>
      </c>
      <c r="B133" s="20"/>
      <c r="C133" s="20"/>
      <c r="D133" s="20"/>
      <c r="G133" s="26"/>
      <c r="H133" s="8"/>
      <c r="I133" s="4"/>
      <c r="J133" s="4"/>
    </row>
    <row r="134" spans="1:10" ht="17" x14ac:dyDescent="0.2">
      <c r="A134" s="17" t="s">
        <v>226</v>
      </c>
      <c r="B134" s="20"/>
      <c r="C134" s="20"/>
      <c r="D134" s="18">
        <f>-26879</f>
        <v>-26879</v>
      </c>
      <c r="E134" s="48"/>
      <c r="F134" s="48"/>
      <c r="G134" s="49"/>
      <c r="H134" s="8"/>
      <c r="I134" s="4"/>
      <c r="J134" s="4"/>
    </row>
    <row r="135" spans="1:10" ht="17" x14ac:dyDescent="0.2">
      <c r="A135" s="17" t="s">
        <v>227</v>
      </c>
      <c r="B135" s="42">
        <f>B134</f>
        <v>0</v>
      </c>
      <c r="C135" s="42">
        <f>C133+C134</f>
        <v>0</v>
      </c>
      <c r="D135" s="42">
        <f t="shared" ref="D135:G135" si="15">D133+D134</f>
        <v>-26879</v>
      </c>
      <c r="E135" s="42">
        <f t="shared" si="15"/>
        <v>0</v>
      </c>
      <c r="F135" s="42">
        <f t="shared" si="15"/>
        <v>0</v>
      </c>
      <c r="G135" s="43">
        <f t="shared" si="15"/>
        <v>0</v>
      </c>
      <c r="H135" s="8"/>
      <c r="I135" s="4"/>
      <c r="J135" s="4"/>
    </row>
    <row r="136" spans="1:10" ht="18" thickBot="1" x14ac:dyDescent="0.25">
      <c r="A136" s="17" t="s">
        <v>228</v>
      </c>
      <c r="B136" s="42">
        <f>(B135)-(0)</f>
        <v>0</v>
      </c>
      <c r="C136" s="42">
        <f>(C135)-(0)</f>
        <v>0</v>
      </c>
      <c r="D136" s="42">
        <f>(D135)-(0)</f>
        <v>-26879</v>
      </c>
      <c r="E136" s="42">
        <f>('Profit and Loss'!M191)-(E135)</f>
        <v>0</v>
      </c>
      <c r="F136" s="40">
        <f>('Profit and Loss'!N191)-(F135)</f>
        <v>0</v>
      </c>
      <c r="G136" s="50">
        <f>('Profit and Loss'!O191)-(G135)</f>
        <v>0</v>
      </c>
      <c r="H136" s="8"/>
      <c r="I136" s="4"/>
      <c r="J136" s="33"/>
    </row>
    <row r="137" spans="1:10" ht="22" thickTop="1" thickBot="1" x14ac:dyDescent="0.3">
      <c r="A137" s="59" t="s">
        <v>223</v>
      </c>
      <c r="B137" s="60">
        <f>(B132)+(B136)</f>
        <v>141054.83999999997</v>
      </c>
      <c r="C137" s="60">
        <f>(C132)+(C136)</f>
        <v>171338.52000000002</v>
      </c>
      <c r="D137" s="60">
        <f>(D132)+(D136)</f>
        <v>232688.14999999985</v>
      </c>
      <c r="E137" s="60">
        <f>E132</f>
        <v>184749.81999999992</v>
      </c>
      <c r="F137" s="60">
        <f>F132</f>
        <v>130112</v>
      </c>
      <c r="G137" s="61">
        <f>G132</f>
        <v>199819.09999999998</v>
      </c>
      <c r="H137" s="33"/>
      <c r="I137" s="33"/>
    </row>
    <row r="138" spans="1:10" ht="17" thickTop="1" x14ac:dyDescent="0.2">
      <c r="A138" s="51"/>
      <c r="B138" s="20"/>
      <c r="C138" s="20"/>
      <c r="D138" s="20"/>
    </row>
    <row r="139" spans="1:10" ht="57" customHeight="1" x14ac:dyDescent="0.25">
      <c r="A139" s="78" t="s">
        <v>260</v>
      </c>
      <c r="B139" s="78"/>
      <c r="C139" s="78"/>
      <c r="D139" s="78"/>
      <c r="E139" s="78"/>
      <c r="F139" s="78"/>
      <c r="G139" s="78"/>
    </row>
    <row r="140" spans="1:10" ht="60" customHeight="1" x14ac:dyDescent="0.2">
      <c r="A140" s="86" t="s">
        <v>269</v>
      </c>
      <c r="B140" s="87"/>
      <c r="C140" s="87"/>
      <c r="D140" s="87"/>
      <c r="E140" s="87"/>
      <c r="F140" s="87"/>
      <c r="G140" s="88"/>
    </row>
    <row r="141" spans="1:10" ht="45" customHeight="1" x14ac:dyDescent="0.2">
      <c r="A141" s="82" t="s">
        <v>264</v>
      </c>
      <c r="B141" s="83"/>
      <c r="C141" s="83"/>
      <c r="D141" s="83"/>
      <c r="E141" s="83"/>
      <c r="F141" s="83"/>
      <c r="G141" s="84"/>
    </row>
    <row r="142" spans="1:10" ht="43" customHeight="1" x14ac:dyDescent="0.2">
      <c r="A142" s="82" t="s">
        <v>268</v>
      </c>
      <c r="B142" s="83"/>
      <c r="C142" s="83"/>
      <c r="D142" s="83"/>
      <c r="E142" s="83"/>
      <c r="F142" s="83"/>
      <c r="G142" s="84"/>
    </row>
    <row r="143" spans="1:10" ht="26" customHeight="1" x14ac:dyDescent="0.2">
      <c r="A143" s="82" t="s">
        <v>267</v>
      </c>
      <c r="B143" s="83"/>
      <c r="C143" s="83"/>
      <c r="D143" s="83"/>
      <c r="E143" s="83"/>
      <c r="F143" s="83"/>
      <c r="G143" s="84"/>
    </row>
  </sheetData>
  <mergeCells count="6">
    <mergeCell ref="A143:G143"/>
    <mergeCell ref="I112:I113"/>
    <mergeCell ref="I107:I108"/>
    <mergeCell ref="A140:G140"/>
    <mergeCell ref="A141:G141"/>
    <mergeCell ref="A142:G142"/>
  </mergeCells>
  <phoneticPr fontId="3" type="noConversion"/>
  <printOptions horizontalCentered="1" gridLines="1"/>
  <pageMargins left="0.5" right="0.5" top="0.75" bottom="0.75" header="0.3" footer="0.3"/>
  <pageSetup scale="87" fitToHeight="999" orientation="portrait" r:id="rId1"/>
  <headerFooter>
    <oddHeader>&amp;C&amp;"Arial,Regular"&amp;12Town of Glen Echo - Budget Report - Fiscal Year 2024-2025 - PROPOSED</oddHeader>
    <oddFooter>&amp;L&amp;"Arial,Regular"&amp;12&amp;D&amp;R&amp;"Arial,Regular"&amp;12Page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AB20-3DE9-4E0D-8550-85CF3910A6A7}">
  <dimension ref="A1:B29"/>
  <sheetViews>
    <sheetView workbookViewId="0">
      <selection activeCell="A27" sqref="A27"/>
    </sheetView>
  </sheetViews>
  <sheetFormatPr baseColWidth="10" defaultColWidth="8.83203125" defaultRowHeight="15" x14ac:dyDescent="0.2"/>
  <cols>
    <col min="1" max="2" width="11" bestFit="1" customWidth="1"/>
  </cols>
  <sheetData>
    <row r="1" spans="1:2" x14ac:dyDescent="0.2">
      <c r="A1" s="2">
        <f>0</f>
        <v>0</v>
      </c>
      <c r="B1" s="2">
        <f>5000</f>
        <v>5000</v>
      </c>
    </row>
    <row r="2" spans="1:2" x14ac:dyDescent="0.2">
      <c r="A2" s="1"/>
      <c r="B2" s="2">
        <f>5000</f>
        <v>5000</v>
      </c>
    </row>
    <row r="3" spans="1:2" x14ac:dyDescent="0.2">
      <c r="A3" s="3">
        <f>(((((('Profit and Loss'!E94)+('Profit and Loss'!E95))+('Profit and Loss'!E96))+('Profit and Loss'!E97))+('Profit and Loss'!E101))+(A1))+(A2)</f>
        <v>12515.079999999998</v>
      </c>
      <c r="B3" s="3">
        <f>(((((('Profit and Loss'!F94)+('Profit and Loss'!F95))+('Profit and Loss'!F96))+('Profit and Loss'!F97))+('Profit and Loss'!F101))+(B1))+(B2)</f>
        <v>231202</v>
      </c>
    </row>
    <row r="4" spans="1:2" x14ac:dyDescent="0.2">
      <c r="A4" s="1"/>
      <c r="B4" s="1"/>
    </row>
    <row r="5" spans="1:2" x14ac:dyDescent="0.2">
      <c r="A5" s="1"/>
      <c r="B5" s="1"/>
    </row>
    <row r="6" spans="1:2" x14ac:dyDescent="0.2">
      <c r="A6" s="2">
        <f>14276.96</f>
        <v>14276.96</v>
      </c>
      <c r="B6" s="2">
        <f>18271</f>
        <v>18271</v>
      </c>
    </row>
    <row r="7" spans="1:2" x14ac:dyDescent="0.2">
      <c r="A7" s="2">
        <f>1504.7</f>
        <v>1504.7</v>
      </c>
      <c r="B7" s="1"/>
    </row>
    <row r="8" spans="1:2" x14ac:dyDescent="0.2">
      <c r="A8" s="2">
        <f>541.94</f>
        <v>541.94000000000005</v>
      </c>
      <c r="B8" s="2">
        <f>2520</f>
        <v>2520</v>
      </c>
    </row>
    <row r="9" spans="1:2" x14ac:dyDescent="0.2">
      <c r="A9" s="3">
        <f>(((A5)+(A6))+(A7))+(A8)</f>
        <v>16323.6</v>
      </c>
      <c r="B9" s="3">
        <f>(((B5)+(B6))+(B7))+(B8)</f>
        <v>20791</v>
      </c>
    </row>
    <row r="10" spans="1:2" x14ac:dyDescent="0.2">
      <c r="A10" s="2">
        <f>12355.96</f>
        <v>12355.96</v>
      </c>
      <c r="B10" s="2">
        <f>25000</f>
        <v>25000</v>
      </c>
    </row>
    <row r="11" spans="1:2" x14ac:dyDescent="0.2">
      <c r="A11" s="2">
        <f>32877</f>
        <v>32877</v>
      </c>
      <c r="B11" s="2">
        <f>43600</f>
        <v>43600</v>
      </c>
    </row>
    <row r="12" spans="1:2" x14ac:dyDescent="0.2">
      <c r="A12" s="1"/>
      <c r="B12" s="1"/>
    </row>
    <row r="13" spans="1:2" x14ac:dyDescent="0.2">
      <c r="A13" s="2">
        <f>7650</f>
        <v>7650</v>
      </c>
      <c r="B13" s="2">
        <f>3000</f>
        <v>3000</v>
      </c>
    </row>
    <row r="14" spans="1:2" x14ac:dyDescent="0.2">
      <c r="A14" s="1"/>
      <c r="B14" s="2">
        <f>3000</f>
        <v>3000</v>
      </c>
    </row>
    <row r="15" spans="1:2" x14ac:dyDescent="0.2">
      <c r="A15" s="3">
        <f>((A12)+(A13))+(A14)</f>
        <v>7650</v>
      </c>
      <c r="B15" s="3">
        <f>((B12)+(B13))+(B14)</f>
        <v>6000</v>
      </c>
    </row>
    <row r="16" spans="1:2" x14ac:dyDescent="0.2">
      <c r="A16" s="2">
        <f>9091.6</f>
        <v>9091.6</v>
      </c>
      <c r="B16" s="2">
        <f>6750</f>
        <v>6750</v>
      </c>
    </row>
    <row r="17" spans="1:2" x14ac:dyDescent="0.2">
      <c r="A17" s="2">
        <f>5080.53</f>
        <v>5080.53</v>
      </c>
      <c r="B17" s="2">
        <f>5500</f>
        <v>5500</v>
      </c>
    </row>
    <row r="18" spans="1:2" x14ac:dyDescent="0.2">
      <c r="A18" s="2">
        <f>111.2</f>
        <v>111.2</v>
      </c>
      <c r="B18" s="2">
        <f>500</f>
        <v>500</v>
      </c>
    </row>
    <row r="19" spans="1:2" x14ac:dyDescent="0.2">
      <c r="A19" s="3">
        <f>(A17)+(A18)</f>
        <v>5191.7299999999996</v>
      </c>
      <c r="B19" s="3">
        <f>(B17)+(B18)</f>
        <v>6000</v>
      </c>
    </row>
    <row r="20" spans="1:2" x14ac:dyDescent="0.2">
      <c r="A20" s="2">
        <f>3000</f>
        <v>3000</v>
      </c>
      <c r="B20" s="2">
        <f>3000</f>
        <v>3000</v>
      </c>
    </row>
    <row r="21" spans="1:2" x14ac:dyDescent="0.2">
      <c r="A21" s="3">
        <f>(((((((A4)+(A9))+(A10))+(A11))+(A15))+(A16))+(A19))+(A20)</f>
        <v>86489.89</v>
      </c>
      <c r="B21" s="3">
        <f>(((((((B4)+(B9))+(B10))+(B11))+(B15))+(B16))+(B19))+(B20)</f>
        <v>111141</v>
      </c>
    </row>
    <row r="22" spans="1:2" x14ac:dyDescent="0.2">
      <c r="A22" s="2">
        <f>-1133.34</f>
        <v>-1133.3399999999999</v>
      </c>
      <c r="B22" s="1"/>
    </row>
    <row r="23" spans="1:2" x14ac:dyDescent="0.2">
      <c r="A23" s="1"/>
      <c r="B23" s="1"/>
    </row>
    <row r="24" spans="1:2" x14ac:dyDescent="0.2">
      <c r="A24" s="2">
        <f>0</f>
        <v>0</v>
      </c>
      <c r="B24" s="1"/>
    </row>
    <row r="25" spans="1:2" x14ac:dyDescent="0.2">
      <c r="A25" s="2">
        <f>0</f>
        <v>0</v>
      </c>
      <c r="B25" s="1"/>
    </row>
    <row r="26" spans="1:2" x14ac:dyDescent="0.2">
      <c r="A26" s="3">
        <f>((A23)+(A24))+(A25)</f>
        <v>0</v>
      </c>
      <c r="B26" s="3">
        <f>((B23)+(B24))+(B25)</f>
        <v>0</v>
      </c>
    </row>
    <row r="27" spans="1:2" x14ac:dyDescent="0.2">
      <c r="A27" s="3">
        <f>(((((('Profit and Loss'!E46)+('Profit and Loss'!E60))+('Profit and Loss'!E93))+(A3))+(A21))+(A22))+(A26)</f>
        <v>227693.79</v>
      </c>
      <c r="B27" s="3">
        <f>(((((('Profit and Loss'!F46)+('Profit and Loss'!F60))+('Profit and Loss'!F93))+(B3))+(B21))+(B22))+(B26)</f>
        <v>502968</v>
      </c>
    </row>
    <row r="28" spans="1:2" x14ac:dyDescent="0.2">
      <c r="A28" s="3" t="e">
        <f>('Profit and Loss'!#REF!)-(A27)</f>
        <v>#REF!</v>
      </c>
      <c r="B28" s="3">
        <f>('Profit and Loss'!J84)-(B27)</f>
        <v>-502968</v>
      </c>
    </row>
    <row r="29" spans="1:2" x14ac:dyDescent="0.2">
      <c r="A29" s="3" t="e">
        <f>(A28)+(0)</f>
        <v>#REF!</v>
      </c>
      <c r="B29" s="3">
        <f>(B28)+(0)</f>
        <v>-502968</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1DAB9-0829-4A8F-B870-985A74396802}">
  <dimension ref="C3:J63"/>
  <sheetViews>
    <sheetView topLeftCell="A19" workbookViewId="0">
      <selection activeCell="H21" sqref="H21"/>
    </sheetView>
  </sheetViews>
  <sheetFormatPr baseColWidth="10" defaultColWidth="9.1640625" defaultRowHeight="16" x14ac:dyDescent="0.2"/>
  <cols>
    <col min="1" max="2" width="9.1640625" style="64"/>
    <col min="3" max="3" width="6.5" style="64" customWidth="1"/>
    <col min="4" max="6" width="20.6640625" style="64" customWidth="1"/>
    <col min="7" max="7" width="14" style="64" customWidth="1"/>
    <col min="8" max="8" width="13.6640625" style="64" customWidth="1"/>
    <col min="9" max="16384" width="9.1640625" style="64"/>
  </cols>
  <sheetData>
    <row r="3" spans="3:8" ht="19" x14ac:dyDescent="0.25">
      <c r="C3" s="89" t="s">
        <v>229</v>
      </c>
      <c r="D3" s="90"/>
      <c r="E3" s="90"/>
      <c r="F3" s="90"/>
      <c r="G3" s="90"/>
      <c r="H3" s="91"/>
    </row>
    <row r="6" spans="3:8" x14ac:dyDescent="0.2">
      <c r="C6" s="74" t="s">
        <v>230</v>
      </c>
      <c r="H6" s="68">
        <f>'Profit and Loss'!G38</f>
        <v>876552.1</v>
      </c>
    </row>
    <row r="7" spans="3:8" x14ac:dyDescent="0.2">
      <c r="G7" s="66"/>
    </row>
    <row r="8" spans="3:8" x14ac:dyDescent="0.2">
      <c r="C8" s="74" t="s">
        <v>231</v>
      </c>
      <c r="D8" s="67"/>
      <c r="G8" s="66"/>
      <c r="H8" s="73">
        <f>'Profit and Loss'!G129</f>
        <v>676733</v>
      </c>
    </row>
    <row r="9" spans="3:8" x14ac:dyDescent="0.2">
      <c r="C9" s="67"/>
      <c r="D9" s="67"/>
      <c r="G9" s="66"/>
      <c r="H9" s="68"/>
    </row>
    <row r="10" spans="3:8" x14ac:dyDescent="0.2">
      <c r="C10" s="74" t="s">
        <v>232</v>
      </c>
      <c r="D10" s="67"/>
      <c r="G10" s="66"/>
      <c r="H10" s="68">
        <f>'Profit and Loss'!G137</f>
        <v>199819.09999999998</v>
      </c>
    </row>
    <row r="11" spans="3:8" x14ac:dyDescent="0.2">
      <c r="C11" s="67"/>
      <c r="D11" s="67"/>
      <c r="G11" s="66"/>
      <c r="H11" s="68"/>
    </row>
    <row r="12" spans="3:8" x14ac:dyDescent="0.2">
      <c r="C12" s="67" t="s">
        <v>233</v>
      </c>
      <c r="G12" s="66"/>
    </row>
    <row r="13" spans="3:8" x14ac:dyDescent="0.2">
      <c r="D13" s="64" t="s">
        <v>234</v>
      </c>
      <c r="G13" s="65">
        <v>60000</v>
      </c>
    </row>
    <row r="14" spans="3:8" x14ac:dyDescent="0.2">
      <c r="D14" s="64" t="s">
        <v>235</v>
      </c>
      <c r="G14" s="65"/>
    </row>
    <row r="15" spans="3:8" x14ac:dyDescent="0.2">
      <c r="D15" s="64" t="s">
        <v>236</v>
      </c>
      <c r="G15" s="65"/>
    </row>
    <row r="16" spans="3:8" x14ac:dyDescent="0.2">
      <c r="D16" s="64" t="s">
        <v>237</v>
      </c>
      <c r="G16" s="65">
        <v>0</v>
      </c>
    </row>
    <row r="17" spans="3:8" x14ac:dyDescent="0.2">
      <c r="D17" s="64" t="s">
        <v>238</v>
      </c>
      <c r="G17" s="65">
        <v>0</v>
      </c>
    </row>
    <row r="18" spans="3:8" x14ac:dyDescent="0.2">
      <c r="D18" s="64" t="s">
        <v>239</v>
      </c>
      <c r="G18" s="70">
        <v>0</v>
      </c>
      <c r="H18" s="71">
        <f>SUM(G13:G18)</f>
        <v>60000</v>
      </c>
    </row>
    <row r="19" spans="3:8" x14ac:dyDescent="0.2">
      <c r="G19" s="66"/>
    </row>
    <row r="20" spans="3:8" x14ac:dyDescent="0.2">
      <c r="G20" s="66"/>
    </row>
    <row r="21" spans="3:8" x14ac:dyDescent="0.2">
      <c r="C21" s="67" t="s">
        <v>240</v>
      </c>
      <c r="H21" s="69">
        <f>H10+H18</f>
        <v>259819.09999999998</v>
      </c>
    </row>
    <row r="22" spans="3:8" x14ac:dyDescent="0.2">
      <c r="G22" s="66"/>
    </row>
    <row r="23" spans="3:8" x14ac:dyDescent="0.2">
      <c r="G23" s="66"/>
    </row>
    <row r="24" spans="3:8" x14ac:dyDescent="0.2">
      <c r="G24" s="66"/>
    </row>
    <row r="25" spans="3:8" x14ac:dyDescent="0.2">
      <c r="C25" s="67" t="s">
        <v>241</v>
      </c>
      <c r="G25" s="66"/>
    </row>
    <row r="26" spans="3:8" x14ac:dyDescent="0.2">
      <c r="D26" s="92" t="s">
        <v>242</v>
      </c>
      <c r="E26" s="92"/>
      <c r="F26" s="92"/>
      <c r="G26" s="92"/>
      <c r="H26" s="92"/>
    </row>
    <row r="27" spans="3:8" x14ac:dyDescent="0.2">
      <c r="D27" s="92"/>
      <c r="E27" s="92"/>
      <c r="F27" s="92"/>
      <c r="G27" s="92"/>
      <c r="H27" s="92"/>
    </row>
    <row r="28" spans="3:8" x14ac:dyDescent="0.2">
      <c r="D28" s="92"/>
      <c r="E28" s="92"/>
      <c r="F28" s="92"/>
      <c r="G28" s="92"/>
      <c r="H28" s="92"/>
    </row>
    <row r="29" spans="3:8" x14ac:dyDescent="0.2">
      <c r="C29" s="67" t="s">
        <v>243</v>
      </c>
      <c r="G29" s="66"/>
    </row>
    <row r="30" spans="3:8" x14ac:dyDescent="0.2">
      <c r="C30" s="67"/>
      <c r="G30" s="66"/>
    </row>
    <row r="31" spans="3:8" x14ac:dyDescent="0.2">
      <c r="C31" s="67"/>
      <c r="G31" s="66"/>
    </row>
    <row r="32" spans="3:8" x14ac:dyDescent="0.2">
      <c r="C32" s="67"/>
      <c r="G32" s="66"/>
    </row>
    <row r="33" spans="3:8" x14ac:dyDescent="0.2">
      <c r="G33" s="66"/>
    </row>
    <row r="35" spans="3:8" ht="19" x14ac:dyDescent="0.25">
      <c r="C35" s="89" t="s">
        <v>244</v>
      </c>
      <c r="D35" s="90"/>
      <c r="E35" s="90"/>
      <c r="F35" s="90"/>
      <c r="G35" s="90"/>
      <c r="H35" s="91"/>
    </row>
    <row r="38" spans="3:8" x14ac:dyDescent="0.2">
      <c r="C38" s="67" t="s">
        <v>245</v>
      </c>
      <c r="H38" s="68">
        <v>204106</v>
      </c>
    </row>
    <row r="39" spans="3:8" x14ac:dyDescent="0.2">
      <c r="G39" s="66"/>
    </row>
    <row r="40" spans="3:8" x14ac:dyDescent="0.2">
      <c r="D40" s="67" t="s">
        <v>246</v>
      </c>
      <c r="G40" s="66"/>
    </row>
    <row r="41" spans="3:8" x14ac:dyDescent="0.2">
      <c r="G41" s="66"/>
    </row>
    <row r="42" spans="3:8" x14ac:dyDescent="0.2">
      <c r="D42" s="64" t="s">
        <v>234</v>
      </c>
      <c r="G42" s="65">
        <v>60000</v>
      </c>
    </row>
    <row r="43" spans="3:8" x14ac:dyDescent="0.2">
      <c r="D43" s="64" t="s">
        <v>235</v>
      </c>
      <c r="G43" s="65">
        <v>0</v>
      </c>
    </row>
    <row r="44" spans="3:8" x14ac:dyDescent="0.2">
      <c r="D44" s="64" t="s">
        <v>236</v>
      </c>
      <c r="G44" s="65">
        <v>0</v>
      </c>
    </row>
    <row r="45" spans="3:8" x14ac:dyDescent="0.2">
      <c r="D45" s="64" t="s">
        <v>237</v>
      </c>
      <c r="G45" s="65">
        <v>0</v>
      </c>
    </row>
    <row r="46" spans="3:8" x14ac:dyDescent="0.2">
      <c r="D46" s="64" t="s">
        <v>238</v>
      </c>
      <c r="G46" s="65">
        <v>0</v>
      </c>
    </row>
    <row r="47" spans="3:8" x14ac:dyDescent="0.2">
      <c r="D47" s="64" t="s">
        <v>239</v>
      </c>
      <c r="G47" s="70">
        <v>0</v>
      </c>
      <c r="H47" s="71">
        <f>SUM(G42:G47)</f>
        <v>60000</v>
      </c>
    </row>
    <row r="48" spans="3:8" x14ac:dyDescent="0.2">
      <c r="G48" s="66"/>
    </row>
    <row r="49" spans="3:10" x14ac:dyDescent="0.2">
      <c r="G49" s="66"/>
    </row>
    <row r="50" spans="3:10" x14ac:dyDescent="0.2">
      <c r="C50" s="67" t="s">
        <v>247</v>
      </c>
      <c r="H50" s="69">
        <f>H38-H47</f>
        <v>144106</v>
      </c>
    </row>
    <row r="51" spans="3:10" x14ac:dyDescent="0.2">
      <c r="G51" s="66"/>
    </row>
    <row r="52" spans="3:10" x14ac:dyDescent="0.2">
      <c r="G52" s="66"/>
    </row>
    <row r="53" spans="3:10" x14ac:dyDescent="0.2">
      <c r="G53" s="66"/>
    </row>
    <row r="54" spans="3:10" x14ac:dyDescent="0.2">
      <c r="C54" s="67" t="s">
        <v>241</v>
      </c>
      <c r="G54" s="66"/>
    </row>
    <row r="55" spans="3:10" x14ac:dyDescent="0.2">
      <c r="D55" s="64" t="s">
        <v>248</v>
      </c>
      <c r="G55" s="66"/>
    </row>
    <row r="56" spans="3:10" x14ac:dyDescent="0.2">
      <c r="D56" s="64" t="s">
        <v>249</v>
      </c>
      <c r="G56" s="66"/>
    </row>
    <row r="57" spans="3:10" x14ac:dyDescent="0.2">
      <c r="G57" s="66"/>
    </row>
    <row r="58" spans="3:10" x14ac:dyDescent="0.2">
      <c r="C58" s="67" t="s">
        <v>243</v>
      </c>
      <c r="G58" s="66"/>
    </row>
    <row r="59" spans="3:10" x14ac:dyDescent="0.2">
      <c r="D59" s="64" t="s">
        <v>250</v>
      </c>
      <c r="G59" s="66"/>
      <c r="J59" s="75"/>
    </row>
    <row r="60" spans="3:10" x14ac:dyDescent="0.2">
      <c r="G60" s="66"/>
      <c r="J60" s="75"/>
    </row>
    <row r="61" spans="3:10" x14ac:dyDescent="0.2">
      <c r="D61" s="64" t="s">
        <v>251</v>
      </c>
      <c r="J61" s="76" t="s">
        <v>252</v>
      </c>
    </row>
    <row r="62" spans="3:10" x14ac:dyDescent="0.2">
      <c r="J62" s="75" t="s">
        <v>253</v>
      </c>
    </row>
    <row r="63" spans="3:10" x14ac:dyDescent="0.2">
      <c r="J63" s="75" t="s">
        <v>254</v>
      </c>
    </row>
  </sheetData>
  <mergeCells count="3">
    <mergeCell ref="C35:H35"/>
    <mergeCell ref="C3:H3"/>
    <mergeCell ref="D26:H28"/>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Profit and Loss</vt:lpstr>
      <vt:lpstr>Sheet1</vt:lpstr>
      <vt:lpstr>Analysis</vt:lpstr>
      <vt:lpstr>'Profit and Loss'!Print_Titles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Clerk Treasurer</cp:lastModifiedBy>
  <cp:revision/>
  <cp:lastPrinted>2024-05-11T01:20:48Z</cp:lastPrinted>
  <dcterms:created xsi:type="dcterms:W3CDTF">2024-03-11T19:21:35Z</dcterms:created>
  <dcterms:modified xsi:type="dcterms:W3CDTF">2024-07-30T14:55:56Z</dcterms:modified>
  <cp:category/>
  <cp:contentStatus/>
</cp:coreProperties>
</file>